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UnitEconomics" sheetId="3" state="visible" r:id="rId5"/>
    <sheet name="Revenue" sheetId="4" state="visible" r:id="rId6"/>
    <sheet name="PnL" sheetId="5" state="visible" r:id="rId7"/>
    <sheet name="Headcount" sheetId="6" state="visible" r:id="rId8"/>
    <sheet name="CashFlow" sheetId="7" state="visible" r:id="rId9"/>
    <sheet name="PreA_Scenarios" sheetId="8" state="visible" r:id="rId10"/>
    <sheet name="TIPS_Scenario" sheetId="9" state="visible" r:id="rId11"/>
    <sheet name="Sensitivity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<sst xmlns="http://schemas.openxmlformats.org/spreadsheetml/2006/main" count="486" uniqueCount="377">
  <si>
    <t xml:space="preserve">🌿 MyDamii — Pre-A Financial Model</t>
  </si>
  <si>
    <t xml:space="preserve">Version 1.0 · 2026-05-06 · CONFIDENTIAL</t>
  </si>
  <si>
    <r>
      <rPr>
        <b val="true"/>
        <sz val="11"/>
        <color rgb="FF9F402D"/>
        <rFont val="Arial"/>
        <family val="0"/>
        <charset val="1"/>
      </rPr>
      <t xml:space="preserve">Phase 1 </t>
    </r>
    <r>
      <rPr>
        <b val="true"/>
        <sz val="11"/>
        <color rgb="FF9F402D"/>
        <rFont val="PingFang SC"/>
        <family val="2"/>
      </rPr>
      <t xml:space="preserve">모델 </t>
    </r>
    <r>
      <rPr>
        <b val="true"/>
        <sz val="11"/>
        <color rgb="FF9F402D"/>
        <rFont val="Arial"/>
        <family val="0"/>
        <charset val="1"/>
      </rPr>
      <t xml:space="preserve">A — UAE </t>
    </r>
    <r>
      <rPr>
        <b val="true"/>
        <sz val="11"/>
        <color rgb="FF9F402D"/>
        <rFont val="PingFang SC"/>
        <family val="2"/>
      </rPr>
      <t xml:space="preserve">단독 </t>
    </r>
    <r>
      <rPr>
        <b val="true"/>
        <sz val="11"/>
        <color rgb="FF9F402D"/>
        <rFont val="Arial"/>
        <family val="0"/>
        <charset val="1"/>
      </rPr>
      <t xml:space="preserve">first (</t>
    </r>
    <r>
      <rPr>
        <b val="true"/>
        <sz val="11"/>
        <color rgb="FF9F402D"/>
        <rFont val="PingFang SC"/>
        <family val="2"/>
      </rPr>
      <t xml:space="preserve">한국 직배송 </t>
    </r>
    <r>
      <rPr>
        <b val="true"/>
        <sz val="11"/>
        <color rgb="FF9F402D"/>
        <rFont val="Arial"/>
        <family val="0"/>
        <charset val="1"/>
      </rPr>
      <t xml:space="preserve">+ DDP)</t>
    </r>
  </si>
  <si>
    <t xml:space="preserve">항목</t>
  </si>
  <si>
    <t xml:space="preserve">값</t>
  </si>
  <si>
    <t xml:space="preserve">Stage</t>
  </si>
  <si>
    <t xml:space="preserve">Pre-A</t>
  </si>
  <si>
    <r>
      <rPr>
        <sz val="10"/>
        <rFont val="Arial"/>
        <family val="0"/>
        <charset val="1"/>
      </rPr>
      <t xml:space="preserve">Pre-A </t>
    </r>
    <r>
      <rPr>
        <sz val="10"/>
        <rFont val="PingFang SC"/>
        <family val="2"/>
      </rPr>
      <t xml:space="preserve">목표 </t>
    </r>
    <r>
      <rPr>
        <sz val="10"/>
        <rFont val="Arial"/>
        <family val="0"/>
        <charset val="1"/>
      </rPr>
      <t xml:space="preserve">(Base)</t>
    </r>
  </si>
  <si>
    <r>
      <rPr>
        <sz val="10"/>
        <rFont val="Arial"/>
        <family val="0"/>
        <charset val="1"/>
      </rPr>
      <t xml:space="preserve">₩60–100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KRW</t>
    </r>
  </si>
  <si>
    <r>
      <rPr>
        <sz val="10"/>
        <rFont val="Arial"/>
        <family val="0"/>
        <charset val="1"/>
      </rPr>
      <t xml:space="preserve">Phase 1 </t>
    </r>
    <r>
      <rPr>
        <sz val="10"/>
        <rFont val="PingFang SC"/>
        <family val="2"/>
      </rPr>
      <t xml:space="preserve">시장</t>
    </r>
  </si>
  <si>
    <r>
      <rPr>
        <sz val="10"/>
        <rFont val="Arial"/>
        <family val="0"/>
        <charset val="1"/>
      </rPr>
      <t xml:space="preserve">UAE </t>
    </r>
    <r>
      <rPr>
        <sz val="10"/>
        <rFont val="PingFang SC"/>
        <family val="2"/>
      </rPr>
      <t xml:space="preserve">단독</t>
    </r>
  </si>
  <si>
    <t xml:space="preserve">운영 모델</t>
  </si>
  <si>
    <t xml:space="preserve">모델 A — 한국 직배송 + DDP (#086)</t>
  </si>
  <si>
    <t xml:space="preserve">거래 형태</t>
  </si>
  <si>
    <t xml:space="preserve">특정매입 + 직접수출자 + 총액법 (#079)</t>
  </si>
  <si>
    <r>
      <rPr>
        <sz val="10"/>
        <rFont val="Arial"/>
        <family val="0"/>
        <charset val="1"/>
      </rPr>
      <t xml:space="preserve">Take Rate (</t>
    </r>
    <r>
      <rPr>
        <sz val="10"/>
        <rFont val="PingFang SC"/>
        <family val="2"/>
      </rPr>
      <t xml:space="preserve">명목</t>
    </r>
    <r>
      <rPr>
        <sz val="10"/>
        <rFont val="Arial"/>
        <family val="0"/>
        <charset val="1"/>
      </rPr>
      <t xml:space="preserve">)</t>
    </r>
  </si>
  <si>
    <t xml:space="preserve">30%</t>
  </si>
  <si>
    <r>
      <rPr>
        <sz val="10"/>
        <rFont val="Arial"/>
        <family val="0"/>
        <charset val="1"/>
      </rPr>
      <t xml:space="preserve">Phase 1 SOM (3</t>
    </r>
    <r>
      <rPr>
        <sz val="10"/>
        <rFont val="PingFang SC"/>
        <family val="2"/>
      </rPr>
      <t xml:space="preserve">년 보수</t>
    </r>
    <r>
      <rPr>
        <sz val="10"/>
        <rFont val="Arial"/>
        <family val="0"/>
        <charset val="1"/>
      </rPr>
      <t xml:space="preserve">)</t>
    </r>
  </si>
  <si>
    <t xml:space="preserve">USD 8–25M (UAE only)</t>
  </si>
  <si>
    <r>
      <rPr>
        <sz val="10"/>
        <rFont val="Arial"/>
        <family val="0"/>
        <charset val="1"/>
      </rPr>
      <t xml:space="preserve">Phase 1+2 SOM (5</t>
    </r>
    <r>
      <rPr>
        <sz val="10"/>
        <rFont val="PingFang SC"/>
        <family val="2"/>
      </rPr>
      <t xml:space="preserve">년 누적</t>
    </r>
    <r>
      <rPr>
        <sz val="10"/>
        <rFont val="Arial"/>
        <family val="0"/>
        <charset val="1"/>
      </rPr>
      <t xml:space="preserve">)</t>
    </r>
  </si>
  <si>
    <t xml:space="preserve">USD 30–60M (UAE+GCC)</t>
  </si>
  <si>
    <r>
      <rPr>
        <sz val="10"/>
        <rFont val="Arial"/>
        <family val="0"/>
        <charset val="1"/>
      </rPr>
      <t xml:space="preserve">CEPA Korea-UAE </t>
    </r>
    <r>
      <rPr>
        <sz val="10"/>
        <rFont val="PingFang SC"/>
        <family val="2"/>
      </rPr>
      <t xml:space="preserve">발효</t>
    </r>
  </si>
  <si>
    <r>
      <rPr>
        <sz val="10"/>
        <rFont val="Arial"/>
        <family val="0"/>
        <charset val="1"/>
      </rPr>
      <t xml:space="preserve">2026-05 (5% </t>
    </r>
    <r>
      <rPr>
        <sz val="10"/>
        <rFont val="PingFang SC"/>
        <family val="2"/>
      </rPr>
      <t xml:space="preserve">관세 즉시</t>
    </r>
    <r>
      <rPr>
        <sz val="10"/>
        <rFont val="Arial"/>
        <family val="0"/>
        <charset val="1"/>
      </rPr>
      <t xml:space="preserve">·</t>
    </r>
    <r>
      <rPr>
        <sz val="10"/>
        <rFont val="PingFang SC"/>
        <family val="2"/>
      </rPr>
      <t xml:space="preserve">단계 철폐</t>
    </r>
    <r>
      <rPr>
        <sz val="10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</si>
  <si>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Sephora ME </t>
    </r>
    <r>
      <rPr>
        <sz val="10"/>
        <rFont val="PingFang SC"/>
        <family val="2"/>
      </rPr>
      <t xml:space="preserve">진입 윈도우</t>
    </r>
  </si>
  <si>
    <r>
      <rPr>
        <sz val="10"/>
        <rFont val="Arial"/>
        <family val="0"/>
        <charset val="1"/>
      </rPr>
      <t xml:space="preserve">2027 — 18</t>
    </r>
    <r>
      <rPr>
        <sz val="10"/>
        <rFont val="PingFang SC"/>
        <family val="2"/>
      </rPr>
      <t xml:space="preserve">개월 단독 </t>
    </r>
    <r>
      <rPr>
        <sz val="10"/>
        <rFont val="Arial"/>
        <family val="0"/>
        <charset val="1"/>
      </rPr>
      <t xml:space="preserve">moat</t>
    </r>
  </si>
  <si>
    <t xml:space="preserve">포지션</t>
  </si>
  <si>
    <r>
      <rPr>
        <sz val="10"/>
        <rFont val="Arial"/>
        <family val="0"/>
        <charset val="1"/>
      </rPr>
      <t xml:space="preserve">MENA K-</t>
    </r>
    <r>
      <rPr>
        <sz val="10"/>
        <rFont val="PingFang SC"/>
        <family val="2"/>
      </rPr>
      <t xml:space="preserve">뷰티 </t>
    </r>
    <r>
      <rPr>
        <sz val="10"/>
        <rFont val="Arial"/>
        <family val="0"/>
        <charset val="1"/>
      </rPr>
      <t xml:space="preserve">Specialist → Global</t>
    </r>
  </si>
  <si>
    <t xml:space="preserve">베타 런칭</t>
  </si>
  <si>
    <t xml:space="preserve">2027.Q1 (M1)</t>
  </si>
  <si>
    <r>
      <rPr>
        <sz val="10"/>
        <rFont val="Arial"/>
        <family val="0"/>
        <charset val="1"/>
      </rPr>
      <t xml:space="preserve">Phase 1.5 </t>
    </r>
    <r>
      <rPr>
        <sz val="10"/>
        <rFont val="PingFang SC"/>
        <family val="2"/>
      </rPr>
      <t xml:space="preserve">트리거</t>
    </r>
  </si>
  <si>
    <t xml:space="preserve">월 USD 50K+ 6mo / Anchor LOI 5+ / GCC 결정 (2/3 충족)</t>
  </si>
  <si>
    <t xml:space="preserve">Currency Base</t>
  </si>
  <si>
    <t xml:space="preserve">KRW (₩) · FX 1,400 KRW/USD</t>
  </si>
  <si>
    <r>
      <rPr>
        <b val="true"/>
        <sz val="11"/>
        <color rgb="FF9F402D"/>
        <rFont val="Arial"/>
        <family val="0"/>
        <charset val="1"/>
      </rPr>
      <t xml:space="preserve">📑 Workbook </t>
    </r>
    <r>
      <rPr>
        <b val="true"/>
        <sz val="11"/>
        <color rgb="FF9F402D"/>
        <rFont val="PingFang SC"/>
        <family val="2"/>
      </rPr>
      <t xml:space="preserve">시트 구조</t>
    </r>
  </si>
  <si>
    <t xml:space="preserve">#</t>
  </si>
  <si>
    <t xml:space="preserve">Sheet</t>
  </si>
  <si>
    <t xml:space="preserve">내용</t>
  </si>
  <si>
    <t xml:space="preserve">Cover</t>
  </si>
  <si>
    <t xml:space="preserve">본 페이지</t>
  </si>
  <si>
    <t xml:space="preserve">Assumptions</t>
  </si>
  <si>
    <t xml:space="preserve">🟡 입력 가정 (모든 드라이버 — VC가 수정해 시나리오 검증)</t>
  </si>
  <si>
    <t xml:space="preserve">UnitEconomics</t>
  </si>
  <si>
    <t xml:space="preserve">주문 1건당 P&amp;L (Stripe vs Tabby)</t>
  </si>
  <si>
    <t xml:space="preserve">Revenue</t>
  </si>
  <si>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주문량</t>
    </r>
    <r>
      <rPr>
        <sz val="10"/>
        <rFont val="Arial"/>
        <family val="0"/>
        <charset val="1"/>
      </rPr>
      <t xml:space="preserve">·GMV·Damii </t>
    </r>
    <r>
      <rPr>
        <sz val="10"/>
        <rFont val="PingFang SC"/>
        <family val="2"/>
      </rPr>
      <t xml:space="preserve">매출</t>
    </r>
  </si>
  <si>
    <t xml:space="preserve">PnL</t>
  </si>
  <si>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손익계산서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총액법 </t>
    </r>
    <r>
      <rPr>
        <sz val="10"/>
        <rFont val="Arial"/>
        <family val="0"/>
        <charset val="1"/>
      </rPr>
      <t xml:space="preserve">#079)</t>
    </r>
  </si>
  <si>
    <t xml:space="preserve">Headcount</t>
  </si>
  <si>
    <t xml:space="preserve">월별 인력·인건비</t>
  </si>
  <si>
    <t xml:space="preserve">CashFlow</t>
  </si>
  <si>
    <t xml:space="preserve">현금흐름 + Pre-A + 정부지원 + 런웨이</t>
  </si>
  <si>
    <t xml:space="preserve">PreA_Scenarios</t>
  </si>
  <si>
    <r>
      <rPr>
        <sz val="10"/>
        <rFont val="Arial"/>
        <family val="0"/>
        <charset val="1"/>
      </rPr>
      <t xml:space="preserve">Pre-A </t>
    </r>
    <r>
      <rPr>
        <sz val="10"/>
        <rFont val="PingFang SC"/>
        <family val="2"/>
      </rPr>
      <t xml:space="preserve">시나리오 </t>
    </r>
    <r>
      <rPr>
        <sz val="10"/>
        <rFont val="Arial"/>
        <family val="0"/>
        <charset val="1"/>
      </rPr>
      <t xml:space="preserve">+ </t>
    </r>
    <r>
      <rPr>
        <sz val="10"/>
        <rFont val="PingFang SC"/>
        <family val="2"/>
      </rPr>
      <t xml:space="preserve">자금 사용처</t>
    </r>
  </si>
  <si>
    <t xml:space="preserve">Sensitivity</t>
  </si>
  <si>
    <r>
      <rPr>
        <sz val="10"/>
        <rFont val="Arial"/>
        <family val="0"/>
        <charset val="1"/>
      </rPr>
      <t xml:space="preserve">AOV × Volume </t>
    </r>
    <r>
      <rPr>
        <sz val="10"/>
        <rFont val="PingFang SC"/>
        <family val="2"/>
      </rPr>
      <t xml:space="preserve">민감도 분석</t>
    </r>
  </si>
  <si>
    <t xml:space="preserve">⚠️ 사용 가이드 — 노란 배경 셀이 입력 가정. 다른 셀은 자동 계산</t>
  </si>
  <si>
    <r>
      <rPr>
        <i val="true"/>
        <sz val="10"/>
        <color rgb="FF9F402D"/>
        <rFont val="Arial"/>
        <family val="0"/>
        <charset val="1"/>
      </rPr>
      <t xml:space="preserve">🆕 v1.1 </t>
    </r>
    <r>
      <rPr>
        <i val="true"/>
        <sz val="10"/>
        <color rgb="FF9F402D"/>
        <rFont val="PingFang SC"/>
        <family val="2"/>
      </rPr>
      <t xml:space="preserve">추가</t>
    </r>
    <r>
      <rPr>
        <i val="true"/>
        <sz val="10"/>
        <color rgb="FF9F402D"/>
        <rFont val="Arial"/>
        <family val="0"/>
        <charset val="1"/>
      </rPr>
      <t xml:space="preserve">: TIPS_Scenario </t>
    </r>
    <r>
      <rPr>
        <i val="true"/>
        <sz val="10"/>
        <color rgb="FF9F402D"/>
        <rFont val="PingFang SC"/>
        <family val="2"/>
      </rPr>
      <t xml:space="preserve">시트 </t>
    </r>
    <r>
      <rPr>
        <i val="true"/>
        <sz val="10"/>
        <color rgb="FF9F402D"/>
        <rFont val="Arial"/>
        <family val="0"/>
        <charset val="1"/>
      </rPr>
      <t xml:space="preserve">(TIPS </t>
    </r>
    <r>
      <rPr>
        <i val="true"/>
        <sz val="10"/>
        <color rgb="FF9F402D"/>
        <rFont val="PingFang SC"/>
        <family val="2"/>
      </rPr>
      <t xml:space="preserve">통과</t>
    </r>
    <r>
      <rPr>
        <i val="true"/>
        <sz val="10"/>
        <color rgb="FF9F402D"/>
        <rFont val="Arial"/>
        <family val="0"/>
        <charset val="1"/>
      </rPr>
      <t xml:space="preserve">/</t>
    </r>
    <r>
      <rPr>
        <i val="true"/>
        <sz val="10"/>
        <color rgb="FF9F402D"/>
        <rFont val="PingFang SC"/>
        <family val="2"/>
      </rPr>
      <t xml:space="preserve">미통과 비교</t>
    </r>
    <r>
      <rPr>
        <i val="true"/>
        <sz val="10"/>
        <color rgb="FF9F402D"/>
        <rFont val="Arial"/>
        <family val="0"/>
        <charset val="1"/>
      </rPr>
      <t xml:space="preserve">)</t>
    </r>
  </si>
  <si>
    <r>
      <rPr>
        <b val="true"/>
        <sz val="14"/>
        <rFont val="Arial"/>
        <family val="0"/>
        <charset val="1"/>
      </rPr>
      <t xml:space="preserve">Assumptions — </t>
    </r>
    <r>
      <rPr>
        <b val="true"/>
        <sz val="14"/>
        <rFont val="PingFang SC"/>
        <family val="2"/>
      </rPr>
      <t xml:space="preserve">입력 가정 </t>
    </r>
    <r>
      <rPr>
        <b val="true"/>
        <sz val="14"/>
        <rFont val="Arial"/>
        <family val="0"/>
        <charset val="1"/>
      </rPr>
      <t xml:space="preserve">(</t>
    </r>
    <r>
      <rPr>
        <b val="true"/>
        <sz val="14"/>
        <rFont val="PingFang SC"/>
        <family val="2"/>
      </rPr>
      <t xml:space="preserve">노란 셀</t>
    </r>
    <r>
      <rPr>
        <b val="true"/>
        <sz val="14"/>
        <rFont val="Arial"/>
        <family val="0"/>
        <charset val="1"/>
      </rPr>
      <t xml:space="preserve">)</t>
    </r>
  </si>
  <si>
    <r>
      <rPr>
        <b val="true"/>
        <sz val="11"/>
        <color rgb="FF9F402D"/>
        <rFont val="Arial"/>
        <family val="0"/>
        <charset val="1"/>
      </rPr>
      <t xml:space="preserve">═══ 1. </t>
    </r>
    <r>
      <rPr>
        <b val="true"/>
        <sz val="11"/>
        <color rgb="FF9F402D"/>
        <rFont val="PingFang SC"/>
        <family val="2"/>
      </rPr>
      <t xml:space="preserve">시장</t>
    </r>
    <r>
      <rPr>
        <b val="true"/>
        <sz val="11"/>
        <color rgb="FF9F402D"/>
        <rFont val="Arial"/>
        <family val="0"/>
        <charset val="1"/>
      </rPr>
      <t xml:space="preserve">·</t>
    </r>
    <r>
      <rPr>
        <b val="true"/>
        <sz val="11"/>
        <color rgb="FF9F402D"/>
        <rFont val="PingFang SC"/>
        <family val="2"/>
      </rPr>
      <t xml:space="preserve">통화 ═══</t>
    </r>
  </si>
  <si>
    <t xml:space="preserve">FX Rate (KRW/USD)</t>
  </si>
  <si>
    <t xml:space="preserve">KRW/USD</t>
  </si>
  <si>
    <r>
      <rPr>
        <i val="true"/>
        <sz val="9"/>
        <color rgb="FF56423E"/>
        <rFont val="Arial"/>
        <family val="0"/>
        <charset val="1"/>
      </rPr>
      <t xml:space="preserve">Source: 2026-05 </t>
    </r>
    <r>
      <rPr>
        <i val="true"/>
        <sz val="9"/>
        <color rgb="FF56423E"/>
        <rFont val="PingFang SC"/>
        <family val="2"/>
      </rPr>
      <t xml:space="preserve">평균</t>
    </r>
  </si>
  <si>
    <t xml:space="preserve">═══ 2. Unit Economics ═══</t>
  </si>
  <si>
    <t xml:space="preserve">AOV (USD)</t>
  </si>
  <si>
    <t xml:space="preserve">USD</t>
  </si>
  <si>
    <r>
      <rPr>
        <i val="true"/>
        <sz val="9"/>
        <color rgb="FF56423E"/>
        <rFont val="Arial"/>
        <family val="0"/>
        <charset val="1"/>
      </rPr>
      <t xml:space="preserve">Source: YesStyle $40 / Stylevana $60 </t>
    </r>
    <r>
      <rPr>
        <i val="true"/>
        <sz val="9"/>
        <color rgb="FF56423E"/>
        <rFont val="PingFang SC"/>
        <family val="2"/>
      </rPr>
      <t xml:space="preserve">평균</t>
    </r>
  </si>
  <si>
    <t xml:space="preserve">AOV (KRW) — auto</t>
  </si>
  <si>
    <t xml:space="preserve">KRW</t>
  </si>
  <si>
    <r>
      <rPr>
        <sz val="10"/>
        <color rgb="FF000000"/>
        <rFont val="Arial"/>
        <family val="0"/>
        <charset val="1"/>
      </rPr>
      <t xml:space="preserve">Take Rate (</t>
    </r>
    <r>
      <rPr>
        <sz val="10"/>
        <color rgb="FF000000"/>
        <rFont val="PingFang SC"/>
        <family val="2"/>
      </rPr>
      <t xml:space="preserve">명목 </t>
    </r>
    <r>
      <rPr>
        <sz val="10"/>
        <color rgb="FF000000"/>
        <rFont val="Arial"/>
        <family val="0"/>
        <charset val="1"/>
      </rPr>
      <t xml:space="preserve">%)</t>
    </r>
  </si>
  <si>
    <t xml:space="preserve">%</t>
  </si>
  <si>
    <r>
      <rPr>
        <i val="true"/>
        <sz val="9"/>
        <color rgb="FF56423E"/>
        <rFont val="Arial"/>
        <family val="0"/>
        <charset val="1"/>
      </rPr>
      <t xml:space="preserve">Source: #079 Damii 30% / </t>
    </r>
    <r>
      <rPr>
        <i val="true"/>
        <sz val="9"/>
        <color rgb="FF56423E"/>
        <rFont val="PingFang SC"/>
        <family val="2"/>
      </rPr>
      <t xml:space="preserve">입점사 </t>
    </r>
    <r>
      <rPr>
        <i val="true"/>
        <sz val="9"/>
        <color rgb="FF56423E"/>
        <rFont val="Arial"/>
        <family val="0"/>
        <charset val="1"/>
      </rPr>
      <t xml:space="preserve">70%</t>
    </r>
  </si>
  <si>
    <t xml:space="preserve">COGS Rate (=1-Take Rate)</t>
  </si>
  <si>
    <t xml:space="preserve">Payment Fee (blended %)</t>
  </si>
  <si>
    <t xml:space="preserve">Source: Stripe 2.5% + Tabby 6% × 50:50</t>
  </si>
  <si>
    <t xml:space="preserve">DDP Shipping per Order (KRW)</t>
  </si>
  <si>
    <r>
      <rPr>
        <i val="true"/>
        <sz val="9"/>
        <color rgb="FF56423E"/>
        <rFont val="Arial"/>
        <family val="0"/>
        <charset val="1"/>
      </rPr>
      <t xml:space="preserve">Source: CJ + Aramex </t>
    </r>
    <r>
      <rPr>
        <i val="true"/>
        <sz val="9"/>
        <color rgb="FF56423E"/>
        <rFont val="PingFang SC"/>
        <family val="2"/>
      </rPr>
      <t xml:space="preserve">견적 추정</t>
    </r>
  </si>
  <si>
    <r>
      <rPr>
        <b val="true"/>
        <sz val="11"/>
        <color rgb="FF9F402D"/>
        <rFont val="Arial"/>
        <family val="0"/>
        <charset val="1"/>
      </rPr>
      <t xml:space="preserve">═══ 3. Volume Drivers (</t>
    </r>
    <r>
      <rPr>
        <b val="true"/>
        <sz val="11"/>
        <color rgb="FF9F402D"/>
        <rFont val="PingFang SC"/>
        <family val="2"/>
      </rPr>
      <t xml:space="preserve">월별 성장률</t>
    </r>
    <r>
      <rPr>
        <b val="true"/>
        <sz val="11"/>
        <color rgb="FF9F402D"/>
        <rFont val="Arial"/>
        <family val="0"/>
        <charset val="1"/>
      </rPr>
      <t xml:space="preserve">) ═══</t>
    </r>
  </si>
  <si>
    <t xml:space="preserve">M1 Launch Orders (count)</t>
  </si>
  <si>
    <t xml:space="preserve">orders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</si>
  <si>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베타 </t>
    </r>
    <r>
      <rPr>
        <i val="true"/>
        <sz val="9"/>
        <color rgb="FF56423E"/>
        <rFont val="Arial"/>
        <family val="0"/>
        <charset val="1"/>
      </rPr>
      <t xml:space="preserve">launch </t>
    </r>
    <r>
      <rPr>
        <i val="true"/>
        <sz val="9"/>
        <color rgb="FF56423E"/>
        <rFont val="PingFang SC"/>
        <family val="2"/>
      </rPr>
      <t xml:space="preserve">추정</t>
    </r>
  </si>
  <si>
    <t xml:space="preserve">Growth Rate M1-M6 (%/month)</t>
  </si>
  <si>
    <r>
      <rPr>
        <i val="true"/>
        <sz val="9"/>
        <color rgb="FF56423E"/>
        <rFont val="Arial"/>
        <family val="0"/>
        <charset val="1"/>
      </rPr>
      <t xml:space="preserve">Source: Anchor LOI </t>
    </r>
    <r>
      <rPr>
        <i val="true"/>
        <sz val="9"/>
        <color rgb="FF56423E"/>
        <rFont val="PingFang SC"/>
        <family val="2"/>
      </rPr>
      <t xml:space="preserve">효과</t>
    </r>
  </si>
  <si>
    <t xml:space="preserve">Growth Rate M7-M12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</si>
  <si>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안정화 단계</t>
    </r>
  </si>
  <si>
    <t xml:space="preserve">Growth Rate M13-M24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</si>
  <si>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성숙 단계</t>
    </r>
  </si>
  <si>
    <t xml:space="preserve">Growth Rate M25-M36 (%/month)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</si>
  <si>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포화 단계</t>
    </r>
  </si>
  <si>
    <t xml:space="preserve">═══ 4. OpEx Drivers ═══</t>
  </si>
  <si>
    <t xml:space="preserve">Avg Salary Monthly (KRW, blended)</t>
  </si>
  <si>
    <t xml:space="preserve">KRW/mo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</si>
  <si>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시장 평균 </t>
    </r>
    <r>
      <rPr>
        <i val="true"/>
        <sz val="9"/>
        <color rgb="FF56423E"/>
        <rFont val="Arial"/>
        <family val="0"/>
        <charset val="1"/>
      </rPr>
      <t xml:space="preserve">(</t>
    </r>
    <r>
      <rPr>
        <i val="true"/>
        <sz val="9"/>
        <color rgb="FF56423E"/>
        <rFont val="PingFang SC"/>
        <family val="2"/>
      </rPr>
      <t xml:space="preserve">개발</t>
    </r>
    <r>
      <rPr>
        <i val="true"/>
        <sz val="9"/>
        <color rgb="FF56423E"/>
        <rFont val="Arial"/>
        <family val="0"/>
        <charset val="1"/>
      </rPr>
      <t xml:space="preserve">·</t>
    </r>
    <r>
      <rPr>
        <i val="true"/>
        <sz val="9"/>
        <color rgb="FF56423E"/>
        <rFont val="PingFang SC"/>
        <family val="2"/>
      </rPr>
      <t xml:space="preserve">디자인</t>
    </r>
    <r>
      <rPr>
        <i val="true"/>
        <sz val="9"/>
        <color rgb="FF56423E"/>
        <rFont val="Arial"/>
        <family val="0"/>
        <charset val="1"/>
      </rPr>
      <t xml:space="preserve">·</t>
    </r>
    <r>
      <rPr>
        <i val="true"/>
        <sz val="9"/>
        <color rgb="FF56423E"/>
        <rFont val="PingFang SC"/>
        <family val="2"/>
      </rPr>
      <t xml:space="preserve">운영 </t>
    </r>
    <r>
      <rPr>
        <i val="true"/>
        <sz val="9"/>
        <color rgb="FF56423E"/>
        <rFont val="Arial"/>
        <family val="0"/>
        <charset val="1"/>
      </rPr>
      <t xml:space="preserve">blended)</t>
    </r>
  </si>
  <si>
    <t xml:space="preserve">Office/SaaS Monthly (KRW)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</si>
  <si>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강남 공유 </t>
    </r>
    <r>
      <rPr>
        <i val="true"/>
        <sz val="9"/>
        <color rgb="FF56423E"/>
        <rFont val="Arial"/>
        <family val="0"/>
        <charset val="1"/>
      </rPr>
      <t xml:space="preserve">+ AWS·Notion·Slack</t>
    </r>
  </si>
  <si>
    <t xml:space="preserve">Marketing % of Revenue (Y1)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</si>
  <si>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초기 </t>
    </r>
    <r>
      <rPr>
        <i val="true"/>
        <sz val="9"/>
        <color rgb="FF56423E"/>
        <rFont val="Arial"/>
        <family val="0"/>
        <charset val="1"/>
      </rPr>
      <t xml:space="preserve">acquisition </t>
    </r>
    <r>
      <rPr>
        <i val="true"/>
        <sz val="9"/>
        <color rgb="FF56423E"/>
        <rFont val="PingFang SC"/>
        <family val="2"/>
      </rPr>
      <t xml:space="preserve">부담</t>
    </r>
  </si>
  <si>
    <t xml:space="preserve">Marketing % of Revenue (Y2)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</si>
  <si>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안정화</t>
    </r>
  </si>
  <si>
    <t xml:space="preserve">Marketing % of Revenue (Y3)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</si>
  <si>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성숙</t>
    </r>
  </si>
  <si>
    <t xml:space="preserve">═══ 5. Headcount Plan (FTE) ═══</t>
  </si>
  <si>
    <t xml:space="preserve">M1-M6 FTE</t>
  </si>
  <si>
    <t xml:space="preserve">FTE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</si>
  <si>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현 </t>
    </r>
    <r>
      <rPr>
        <i val="true"/>
        <sz val="9"/>
        <color rgb="FF56423E"/>
        <rFont val="Arial"/>
        <family val="0"/>
        <charset val="1"/>
      </rPr>
      <t xml:space="preserve">6</t>
    </r>
    <r>
      <rPr>
        <i val="true"/>
        <sz val="9"/>
        <color rgb="FF56423E"/>
        <rFont val="PingFang SC"/>
        <family val="2"/>
      </rPr>
      <t xml:space="preserve">명 팀</t>
    </r>
  </si>
  <si>
    <t xml:space="preserve">M7-M12 FTE</t>
  </si>
  <si>
    <r>
      <rPr>
        <i val="true"/>
        <sz val="9"/>
        <color rgb="FF56423E"/>
        <rFont val="Arial"/>
        <family val="0"/>
        <charset val="1"/>
      </rPr>
      <t xml:space="preserve">Source: +</t>
    </r>
    <r>
      <rPr>
        <i val="true"/>
        <sz val="9"/>
        <color rgb="FF56423E"/>
        <rFont val="PingFang SC"/>
        <family val="2"/>
      </rPr>
      <t xml:space="preserve">개발 </t>
    </r>
    <r>
      <rPr>
        <i val="true"/>
        <sz val="9"/>
        <color rgb="FF56423E"/>
        <rFont val="Arial"/>
        <family val="0"/>
        <charset val="1"/>
      </rPr>
      <t xml:space="preserve">1, +</t>
    </r>
    <r>
      <rPr>
        <i val="true"/>
        <sz val="9"/>
        <color rgb="FF56423E"/>
        <rFont val="PingFang SC"/>
        <family val="2"/>
      </rPr>
      <t xml:space="preserve">셀러 영업 </t>
    </r>
    <r>
      <rPr>
        <i val="true"/>
        <sz val="9"/>
        <color rgb="FF56423E"/>
        <rFont val="Arial"/>
        <family val="0"/>
        <charset val="1"/>
      </rPr>
      <t xml:space="preserve">1</t>
    </r>
  </si>
  <si>
    <t xml:space="preserve">M13-M24 FTE</t>
  </si>
  <si>
    <t xml:space="preserve">Source: +UAE CS 1, +AI 1</t>
  </si>
  <si>
    <t xml:space="preserve">M25-M36 FTE</t>
  </si>
  <si>
    <r>
      <rPr>
        <i val="true"/>
        <sz val="9"/>
        <color rgb="FF56423E"/>
        <rFont val="Arial"/>
        <family val="0"/>
        <charset val="1"/>
      </rPr>
      <t xml:space="preserve">Source: Phase 1.5 </t>
    </r>
    <r>
      <rPr>
        <i val="true"/>
        <sz val="9"/>
        <color rgb="FF56423E"/>
        <rFont val="PingFang SC"/>
        <family val="2"/>
      </rPr>
      <t xml:space="preserve">전환 대비</t>
    </r>
  </si>
  <si>
    <t xml:space="preserve">═══ 6. Cash &amp; Pre-A ═══</t>
  </si>
  <si>
    <t xml:space="preserve">시작 현금 (KRW, M0)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</si>
  <si>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자기자본 </t>
    </r>
    <r>
      <rPr>
        <i val="true"/>
        <sz val="9"/>
        <color rgb="FF56423E"/>
        <rFont val="Arial"/>
        <family val="0"/>
        <charset val="1"/>
      </rPr>
      <t xml:space="preserve">+ </t>
    </r>
    <r>
      <rPr>
        <i val="true"/>
        <sz val="9"/>
        <color rgb="FF56423E"/>
        <rFont val="PingFang SC"/>
        <family val="2"/>
      </rPr>
      <t xml:space="preserve">정부지원 일부</t>
    </r>
  </si>
  <si>
    <t xml:space="preserve">Pre-A Inflow (KRW)</t>
  </si>
  <si>
    <r>
      <rPr>
        <i val="true"/>
        <sz val="9"/>
        <color rgb="FF56423E"/>
        <rFont val="Arial"/>
        <family val="0"/>
        <charset val="1"/>
      </rPr>
      <t xml:space="preserve">Source: ₩60-100</t>
    </r>
    <r>
      <rPr>
        <i val="true"/>
        <sz val="9"/>
        <color rgb="FF56423E"/>
        <rFont val="PingFang SC"/>
        <family val="2"/>
      </rPr>
      <t xml:space="preserve">억 기본 시나리오 중간값</t>
    </r>
  </si>
  <si>
    <t xml:space="preserve">Pre-A Inflow Month</t>
  </si>
  <si>
    <t xml:space="preserve">M#</t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</si>
  <si>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베타 </t>
    </r>
    <r>
      <rPr>
        <i val="true"/>
        <sz val="9"/>
        <color rgb="FF56423E"/>
        <rFont val="Arial"/>
        <family val="0"/>
        <charset val="1"/>
      </rPr>
      <t xml:space="preserve">D-3</t>
    </r>
    <r>
      <rPr>
        <i val="true"/>
        <sz val="9"/>
        <color rgb="FF56423E"/>
        <rFont val="PingFang SC"/>
        <family val="2"/>
      </rPr>
      <t xml:space="preserve">개월 시점 가정</t>
    </r>
  </si>
  <si>
    <t xml:space="preserve">═══ 7. Government Support Schedule ═══</t>
  </si>
  <si>
    <r>
      <rPr>
        <sz val="10"/>
        <color rgb="FF000000"/>
        <rFont val="Arial"/>
        <family val="0"/>
        <charset val="1"/>
      </rPr>
      <t xml:space="preserve">KIDP </t>
    </r>
    <r>
      <rPr>
        <sz val="10"/>
        <color rgb="FF000000"/>
        <rFont val="PingFang SC"/>
        <family val="2"/>
      </rPr>
      <t xml:space="preserve">디자인 바우처 </t>
    </r>
    <r>
      <rPr>
        <sz val="10"/>
        <color rgb="FF000000"/>
        <rFont val="Arial"/>
        <family val="0"/>
        <charset val="1"/>
      </rPr>
      <t xml:space="preserve">(M3)</t>
    </r>
  </si>
  <si>
    <r>
      <rPr>
        <i val="true"/>
        <sz val="9"/>
        <color rgb="FF56423E"/>
        <rFont val="Arial"/>
        <family val="0"/>
        <charset val="1"/>
      </rPr>
      <t xml:space="preserve">Source: ₩5,000</t>
    </r>
    <r>
      <rPr>
        <i val="true"/>
        <sz val="9"/>
        <color rgb="FF56423E"/>
        <rFont val="PingFang SC"/>
        <family val="2"/>
      </rPr>
      <t xml:space="preserve">만 한도 </t>
    </r>
    <r>
      <rPr>
        <i val="true"/>
        <sz val="9"/>
        <color rgb="FF56423E"/>
        <rFont val="Arial"/>
        <family val="0"/>
        <charset val="1"/>
      </rPr>
      <t xml:space="preserve">× 60% </t>
    </r>
    <r>
      <rPr>
        <i val="true"/>
        <sz val="9"/>
        <color rgb="FF56423E"/>
        <rFont val="PingFang SC"/>
        <family val="2"/>
      </rPr>
      <t xml:space="preserve">보조</t>
    </r>
  </si>
  <si>
    <t xml:space="preserve">청년일자리도약장려금/년 (M6+)</t>
  </si>
  <si>
    <t xml:space="preserve">KRW/FTE/yr</t>
  </si>
  <si>
    <r>
      <rPr>
        <i val="true"/>
        <sz val="9"/>
        <color rgb="FF56423E"/>
        <rFont val="Arial"/>
        <family val="0"/>
        <charset val="1"/>
      </rPr>
      <t xml:space="preserve">Source: 1</t>
    </r>
    <r>
      <rPr>
        <i val="true"/>
        <sz val="9"/>
        <color rgb="FF56423E"/>
        <rFont val="PingFang SC"/>
        <family val="2"/>
      </rPr>
      <t xml:space="preserve">인당 ₩</t>
    </r>
    <r>
      <rPr>
        <i val="true"/>
        <sz val="9"/>
        <color rgb="FF56423E"/>
        <rFont val="Arial"/>
        <family val="0"/>
        <charset val="1"/>
      </rPr>
      <t xml:space="preserve">720</t>
    </r>
    <r>
      <rPr>
        <i val="true"/>
        <sz val="9"/>
        <color rgb="FF56423E"/>
        <rFont val="PingFang SC"/>
        <family val="2"/>
      </rPr>
      <t xml:space="preserve">만</t>
    </r>
  </si>
  <si>
    <r>
      <rPr>
        <sz val="10"/>
        <color rgb="FF000000"/>
        <rFont val="Arial"/>
        <family val="0"/>
        <charset val="1"/>
      </rPr>
      <t xml:space="preserve">SBA </t>
    </r>
    <r>
      <rPr>
        <sz val="10"/>
        <color rgb="FF000000"/>
        <rFont val="PingFang SC"/>
        <family val="2"/>
      </rPr>
      <t xml:space="preserve">청년창업 </t>
    </r>
    <r>
      <rPr>
        <sz val="10"/>
        <color rgb="FF000000"/>
        <rFont val="Arial"/>
        <family val="0"/>
        <charset val="1"/>
      </rPr>
      <t xml:space="preserve">(M9)</t>
    </r>
  </si>
  <si>
    <r>
      <rPr>
        <i val="true"/>
        <sz val="9"/>
        <color rgb="FF56423E"/>
        <rFont val="Arial"/>
        <family val="0"/>
        <charset val="1"/>
      </rPr>
      <t xml:space="preserve">Source: </t>
    </r>
    <r>
      <rPr>
        <i val="true"/>
        <sz val="9"/>
        <color rgb="FF56423E"/>
        <rFont val="PingFang SC"/>
        <family val="2"/>
      </rPr>
      <t xml:space="preserve">서울 청년창업</t>
    </r>
  </si>
  <si>
    <r>
      <rPr>
        <sz val="10"/>
        <color rgb="FF000000"/>
        <rFont val="Arial"/>
        <family val="0"/>
        <charset val="1"/>
      </rPr>
      <t xml:space="preserve">TIPS </t>
    </r>
    <r>
      <rPr>
        <sz val="10"/>
        <color rgb="FF000000"/>
        <rFont val="PingFang SC"/>
        <family val="2"/>
      </rPr>
      <t xml:space="preserve">통과 </t>
    </r>
    <r>
      <rPr>
        <sz val="10"/>
        <color rgb="FF000000"/>
        <rFont val="Arial"/>
        <family val="0"/>
        <charset val="1"/>
      </rPr>
      <t xml:space="preserve">(M12, </t>
    </r>
    <r>
      <rPr>
        <sz val="10"/>
        <color rgb="FF000000"/>
        <rFont val="PingFang SC"/>
        <family val="2"/>
      </rPr>
      <t xml:space="preserve">운영사 추천 가정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</si>
  <si>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9"/>
        <color rgb="FF56423E"/>
        <rFont val="Arial"/>
        <family val="0"/>
        <charset val="1"/>
      </rPr>
      <t xml:space="preserve">Source: TIPS 8</t>
    </r>
    <r>
      <rPr>
        <i val="true"/>
        <sz val="9"/>
        <color rgb="FF56423E"/>
        <rFont val="PingFang SC"/>
        <family val="2"/>
      </rPr>
      <t xml:space="preserve">억 </t>
    </r>
    <r>
      <rPr>
        <i val="true"/>
        <sz val="9"/>
        <color rgb="FF56423E"/>
        <rFont val="Arial"/>
        <family val="0"/>
        <charset val="1"/>
      </rPr>
      <t xml:space="preserve">(2026 </t>
    </r>
    <r>
      <rPr>
        <i val="true"/>
        <sz val="9"/>
        <color rgb="FF56423E"/>
        <rFont val="PingFang SC"/>
        <family val="2"/>
      </rPr>
      <t xml:space="preserve">상향</t>
    </r>
    <r>
      <rPr>
        <i val="true"/>
        <sz val="9"/>
        <color rgb="FF56423E"/>
        <rFont val="Arial"/>
        <family val="0"/>
        <charset val="1"/>
      </rPr>
      <t xml:space="preserve">)</t>
    </r>
  </si>
  <si>
    <t xml:space="preserve">예비창업패키지 (M15)</t>
  </si>
  <si>
    <r>
      <rPr>
        <i val="true"/>
        <sz val="9"/>
        <color rgb="FF56423E"/>
        <rFont val="Arial"/>
        <family val="0"/>
        <charset val="1"/>
      </rPr>
      <t xml:space="preserve">Source: ₩1</t>
    </r>
    <r>
      <rPr>
        <i val="true"/>
        <sz val="9"/>
        <color rgb="FF56423E"/>
        <rFont val="PingFang SC"/>
        <family val="2"/>
      </rPr>
      <t xml:space="preserve">억 </t>
    </r>
    <r>
      <rPr>
        <i val="true"/>
        <sz val="9"/>
        <color rgb="FF56423E"/>
        <rFont val="Arial"/>
        <family val="0"/>
        <charset val="1"/>
      </rPr>
      <t xml:space="preserve">× 70%</t>
    </r>
  </si>
  <si>
    <t xml:space="preserve">초기창업패키지 (M18)</t>
  </si>
  <si>
    <r>
      <rPr>
        <i val="true"/>
        <sz val="9"/>
        <color rgb="FF56423E"/>
        <rFont val="Arial"/>
        <family val="0"/>
        <charset val="1"/>
      </rPr>
      <t xml:space="preserve">Source: ₩1</t>
    </r>
    <r>
      <rPr>
        <i val="true"/>
        <sz val="9"/>
        <color rgb="FF56423E"/>
        <rFont val="PingFang SC"/>
        <family val="2"/>
      </rPr>
      <t xml:space="preserve">억</t>
    </r>
  </si>
  <si>
    <t xml:space="preserve">수출바우처 (M24)</t>
  </si>
  <si>
    <r>
      <rPr>
        <i val="true"/>
        <sz val="9"/>
        <color rgb="FF56423E"/>
        <rFont val="Arial"/>
        <family val="0"/>
        <charset val="1"/>
      </rPr>
      <t xml:space="preserve">Source: ₩3,000~1</t>
    </r>
    <r>
      <rPr>
        <i val="true"/>
        <sz val="9"/>
        <color rgb="FF56423E"/>
        <rFont val="PingFang SC"/>
        <family val="2"/>
      </rPr>
      <t xml:space="preserve">억</t>
    </r>
  </si>
  <si>
    <r>
      <rPr>
        <sz val="10"/>
        <color rgb="FF000000"/>
        <rFont val="Arial"/>
        <family val="0"/>
        <charset val="1"/>
      </rPr>
      <t xml:space="preserve">TIPS </t>
    </r>
    <r>
      <rPr>
        <sz val="10"/>
        <color rgb="FF000000"/>
        <rFont val="PingFang SC"/>
        <family val="2"/>
      </rPr>
      <t xml:space="preserve">통과 가정 </t>
    </r>
    <r>
      <rPr>
        <sz val="10"/>
        <color rgb="FF000000"/>
        <rFont val="Arial"/>
        <family val="0"/>
        <charset val="1"/>
      </rPr>
      <t xml:space="preserve">(1=</t>
    </r>
    <r>
      <rPr>
        <sz val="10"/>
        <color rgb="FF000000"/>
        <rFont val="PingFang SC"/>
        <family val="2"/>
      </rPr>
      <t xml:space="preserve">통과</t>
    </r>
    <r>
      <rPr>
        <sz val="10"/>
        <color rgb="FF000000"/>
        <rFont val="Arial"/>
        <family val="0"/>
        <charset val="1"/>
      </rPr>
      <t xml:space="preserve">, 0=</t>
    </r>
    <r>
      <rPr>
        <sz val="10"/>
        <color rgb="FF000000"/>
        <rFont val="PingFang SC"/>
        <family val="2"/>
      </rPr>
      <t xml:space="preserve">미통과</t>
    </r>
    <r>
      <rPr>
        <sz val="10"/>
        <color rgb="FF000000"/>
        <rFont val="Arial"/>
        <family val="0"/>
        <charset val="1"/>
      </rPr>
      <t xml:space="preserve">)</t>
    </r>
  </si>
  <si>
    <t xml:space="preserve">toggle</t>
  </si>
  <si>
    <r>
      <rPr>
        <i val="true"/>
        <sz val="9"/>
        <color rgb="FF56423E"/>
        <rFont val="Arial"/>
        <family val="0"/>
        <charset val="1"/>
      </rPr>
      <t xml:space="preserve">Source: TIPS = </t>
    </r>
    <r>
      <rPr>
        <i val="true"/>
        <sz val="9"/>
        <color rgb="FF56423E"/>
        <rFont val="PingFang SC"/>
        <family val="2"/>
      </rPr>
      <t xml:space="preserve">운영사 추천 </t>
    </r>
    <r>
      <rPr>
        <i val="true"/>
        <sz val="9"/>
        <color rgb="FF56423E"/>
        <rFont val="Arial"/>
        <family val="0"/>
        <charset val="1"/>
      </rPr>
      <t xml:space="preserve">+ Pre-A VC </t>
    </r>
    <r>
      <rPr>
        <i val="true"/>
        <sz val="9"/>
        <color rgb="FF56423E"/>
        <rFont val="PingFang SC"/>
        <family val="2"/>
      </rPr>
      <t xml:space="preserve">매칭 </t>
    </r>
    <r>
      <rPr>
        <i val="true"/>
        <sz val="9"/>
        <color rgb="FF56423E"/>
        <rFont val="Arial"/>
        <family val="0"/>
        <charset val="1"/>
      </rPr>
      <t xml:space="preserve">(</t>
    </r>
    <r>
      <rPr>
        <i val="true"/>
        <sz val="9"/>
        <color rgb="FF56423E"/>
        <rFont val="PingFang SC"/>
        <family val="2"/>
      </rPr>
      <t xml:space="preserve">수도권 ₩</t>
    </r>
    <r>
      <rPr>
        <i val="true"/>
        <sz val="9"/>
        <color rgb="FF56423E"/>
        <rFont val="Arial"/>
        <family val="0"/>
        <charset val="1"/>
      </rPr>
      <t xml:space="preserve">2</t>
    </r>
    <r>
      <rPr>
        <i val="true"/>
        <sz val="9"/>
        <color rgb="FF56423E"/>
        <rFont val="PingFang SC"/>
        <family val="2"/>
      </rPr>
      <t xml:space="preserve">억</t>
    </r>
    <r>
      <rPr>
        <i val="true"/>
        <sz val="9"/>
        <color rgb="FF56423E"/>
        <rFont val="Arial"/>
        <family val="0"/>
        <charset val="1"/>
      </rPr>
      <t xml:space="preserve">) </t>
    </r>
    <r>
      <rPr>
        <i val="true"/>
        <sz val="9"/>
        <color rgb="FF56423E"/>
        <rFont val="PingFang SC"/>
        <family val="2"/>
      </rPr>
      <t xml:space="preserve">필요</t>
    </r>
    <r>
      <rPr>
        <i val="true"/>
        <sz val="9"/>
        <color rgb="FF56423E"/>
        <rFont val="Arial"/>
        <family val="0"/>
        <charset val="1"/>
      </rPr>
      <t xml:space="preserve">. </t>
    </r>
    <r>
      <rPr>
        <i val="true"/>
        <sz val="9"/>
        <color rgb="FF56423E"/>
        <rFont val="PingFang SC"/>
        <family val="2"/>
      </rPr>
      <t xml:space="preserve">미통과 시 </t>
    </r>
    <r>
      <rPr>
        <i val="true"/>
        <sz val="9"/>
        <color rgb="FF56423E"/>
        <rFont val="Arial"/>
        <family val="0"/>
        <charset val="1"/>
      </rPr>
      <t xml:space="preserve">0</t>
    </r>
    <r>
      <rPr>
        <i val="true"/>
        <sz val="9"/>
        <color rgb="FF56423E"/>
        <rFont val="PingFang SC"/>
        <family val="2"/>
      </rPr>
      <t xml:space="preserve">으로 변경하면 시나리오 전환</t>
    </r>
  </si>
  <si>
    <r>
      <rPr>
        <b val="true"/>
        <sz val="14"/>
        <rFont val="Arial"/>
        <family val="0"/>
        <charset val="1"/>
      </rPr>
      <t xml:space="preserve">Unit Economics — </t>
    </r>
    <r>
      <rPr>
        <b val="true"/>
        <sz val="14"/>
        <rFont val="PingFang SC"/>
        <family val="2"/>
      </rPr>
      <t xml:space="preserve">주문 </t>
    </r>
    <r>
      <rPr>
        <b val="true"/>
        <sz val="14"/>
        <rFont val="Arial"/>
        <family val="0"/>
        <charset val="1"/>
      </rPr>
      <t xml:space="preserve">1</t>
    </r>
    <r>
      <rPr>
        <b val="true"/>
        <sz val="14"/>
        <rFont val="PingFang SC"/>
        <family val="2"/>
      </rPr>
      <t xml:space="preserve">건당 </t>
    </r>
    <r>
      <rPr>
        <b val="true"/>
        <sz val="14"/>
        <rFont val="Arial"/>
        <family val="0"/>
        <charset val="1"/>
      </rPr>
      <t xml:space="preserve">P&amp;L</t>
    </r>
  </si>
  <si>
    <t xml:space="preserve">시나리오 비교: Stripe (카드) vs Tabby (BNPL)</t>
  </si>
  <si>
    <t xml:space="preserve">Line Item</t>
  </si>
  <si>
    <t xml:space="preserve">Stripe (KRW)</t>
  </si>
  <si>
    <t xml:space="preserve">Tabby (KRW)</t>
  </si>
  <si>
    <t xml:space="preserve">Stripe (USD)</t>
  </si>
  <si>
    <t xml:space="preserve">Tabby (USD)</t>
  </si>
  <si>
    <t xml:space="preserve">GMV (Gross Order Value)</t>
  </si>
  <si>
    <r>
      <rPr>
        <sz val="10"/>
        <color rgb="FF000000"/>
        <rFont val="Arial"/>
        <family val="0"/>
        <charset val="1"/>
      </rPr>
      <t xml:space="preserve">Damii Revenue (</t>
    </r>
    <r>
      <rPr>
        <sz val="10"/>
        <color rgb="FF000000"/>
        <rFont val="PingFang SC"/>
        <family val="2"/>
      </rPr>
      <t xml:space="preserve">총액법 </t>
    </r>
    <r>
      <rPr>
        <sz val="10"/>
        <color rgb="FF000000"/>
        <rFont val="Arial"/>
        <family val="0"/>
        <charset val="1"/>
      </rPr>
      <t xml:space="preserve">#079)</t>
    </r>
  </si>
  <si>
    <r>
      <rPr>
        <sz val="10"/>
        <color rgb="FF000000"/>
        <rFont val="Arial"/>
        <family val="0"/>
        <charset val="1"/>
      </rPr>
      <t xml:space="preserve">COGS (</t>
    </r>
    <r>
      <rPr>
        <sz val="10"/>
        <color rgb="FF000000"/>
        <rFont val="PingFang SC"/>
        <family val="2"/>
      </rPr>
      <t xml:space="preserve">입점사 정산 </t>
    </r>
    <r>
      <rPr>
        <sz val="10"/>
        <color rgb="FF000000"/>
        <rFont val="Arial"/>
        <family val="0"/>
        <charset val="1"/>
      </rPr>
      <t xml:space="preserve">70%)</t>
    </r>
  </si>
  <si>
    <t xml:space="preserve">Gross Profit</t>
  </si>
  <si>
    <t xml:space="preserve">Payment Fee</t>
  </si>
  <si>
    <t xml:space="preserve">Shipping (DDP)</t>
  </si>
  <si>
    <t xml:space="preserve">Marketing (allocated 10%)</t>
  </si>
  <si>
    <t xml:space="preserve">Contribution Margin (per order)</t>
  </si>
  <si>
    <t xml:space="preserve">Margin %</t>
  </si>
  <si>
    <t xml:space="preserve">💡 핵심 인사이트</t>
  </si>
  <si>
    <r>
      <rPr>
        <sz val="10"/>
        <color rgb="FF56423E"/>
        <rFont val="Arial"/>
        <family val="0"/>
        <charset val="1"/>
      </rPr>
      <t xml:space="preserve">• Stripe </t>
    </r>
    <r>
      <rPr>
        <sz val="10"/>
        <color rgb="FF56423E"/>
        <rFont val="PingFang SC"/>
        <family val="2"/>
      </rPr>
      <t xml:space="preserve">결제 시 주문당 약 ₩</t>
    </r>
    <r>
      <rPr>
        <sz val="10"/>
        <color rgb="FF56423E"/>
        <rFont val="Arial"/>
        <family val="0"/>
        <charset val="1"/>
      </rPr>
      <t xml:space="preserve">2,500 </t>
    </r>
    <r>
      <rPr>
        <sz val="10"/>
        <color rgb="FF56423E"/>
        <rFont val="PingFang SC"/>
        <family val="2"/>
      </rPr>
      <t xml:space="preserve">마진</t>
    </r>
    <r>
      <rPr>
        <sz val="10"/>
        <color rgb="FF56423E"/>
        <rFont val="Arial"/>
        <family val="0"/>
        <charset val="1"/>
      </rPr>
      <t xml:space="preserve">. Tabby BNPL</t>
    </r>
    <r>
      <rPr>
        <sz val="10"/>
        <color rgb="FF56423E"/>
        <rFont val="PingFang SC"/>
        <family val="2"/>
      </rPr>
      <t xml:space="preserve">은 약 ₩</t>
    </r>
    <r>
      <rPr>
        <sz val="10"/>
        <color rgb="FF56423E"/>
        <rFont val="Arial"/>
        <family val="0"/>
        <charset val="1"/>
      </rPr>
      <t xml:space="preserve">300</t>
    </r>
    <r>
      <rPr>
        <sz val="10"/>
        <color rgb="FF56423E"/>
        <rFont val="PingFang SC"/>
        <family val="2"/>
      </rPr>
      <t xml:space="preserve">으로 마진 </t>
    </r>
    <r>
      <rPr>
        <sz val="10"/>
        <color rgb="FF56423E"/>
        <rFont val="Arial"/>
        <family val="0"/>
        <charset val="1"/>
      </rPr>
      <t xml:space="preserve">80% </t>
    </r>
    <r>
      <rPr>
        <sz val="10"/>
        <color rgb="FF56423E"/>
        <rFont val="PingFang SC"/>
        <family val="2"/>
      </rPr>
      <t xml:space="preserve">감소</t>
    </r>
    <r>
      <rPr>
        <sz val="10"/>
        <color rgb="FF56423E"/>
        <rFont val="Arial"/>
        <family val="0"/>
        <charset val="1"/>
      </rPr>
      <t xml:space="preserve">.</t>
    </r>
  </si>
  <si>
    <t xml:space="preserve">• 단, Tabby는 객단가 +30~50% 효과 (UAE 데이터) → 절대 마진은 비슷할 수 있음.</t>
  </si>
  <si>
    <t xml:space="preserve">• 합배송 70%+ 도달 시 통관·DDP 비용 분담으로 마진 15~22% 회복 (#079).</t>
  </si>
  <si>
    <r>
      <rPr>
        <sz val="10"/>
        <color rgb="FF56423E"/>
        <rFont val="Arial"/>
        <family val="0"/>
        <charset val="1"/>
      </rPr>
      <t xml:space="preserve">• UAE </t>
    </r>
    <r>
      <rPr>
        <sz val="10"/>
        <color rgb="FF56423E"/>
        <rFont val="PingFang SC"/>
        <family val="2"/>
      </rPr>
      <t xml:space="preserve">단독 첫 </t>
    </r>
    <r>
      <rPr>
        <sz val="10"/>
        <color rgb="FF56423E"/>
        <rFont val="Arial"/>
        <family val="0"/>
        <charset val="1"/>
      </rPr>
      <t xml:space="preserve">6</t>
    </r>
    <r>
      <rPr>
        <sz val="10"/>
        <color rgb="FF56423E"/>
        <rFont val="PingFang SC"/>
        <family val="2"/>
      </rPr>
      <t xml:space="preserve">개월은 </t>
    </r>
    <r>
      <rPr>
        <sz val="10"/>
        <color rgb="FF56423E"/>
        <rFont val="Arial"/>
        <family val="0"/>
        <charset val="1"/>
      </rPr>
      <t xml:space="preserve">Tabby </t>
    </r>
    <r>
      <rPr>
        <sz val="10"/>
        <color rgb="FF56423E"/>
        <rFont val="PingFang SC"/>
        <family val="2"/>
      </rPr>
      <t xml:space="preserve">비중 </t>
    </r>
    <r>
      <rPr>
        <sz val="10"/>
        <color rgb="FF56423E"/>
        <rFont val="Arial"/>
        <family val="0"/>
        <charset val="1"/>
      </rPr>
      <t xml:space="preserve">50%+ </t>
    </r>
    <r>
      <rPr>
        <sz val="10"/>
        <color rgb="FF56423E"/>
        <rFont val="PingFang SC"/>
        <family val="2"/>
      </rPr>
      <t xml:space="preserve">가정 </t>
    </r>
    <r>
      <rPr>
        <sz val="10"/>
        <color rgb="FF56423E"/>
        <rFont val="Arial"/>
        <family val="0"/>
        <charset val="1"/>
      </rPr>
      <t xml:space="preserve">(</t>
    </r>
    <r>
      <rPr>
        <sz val="10"/>
        <color rgb="FF56423E"/>
        <rFont val="PingFang SC"/>
        <family val="2"/>
      </rPr>
      <t xml:space="preserve">보수 시나리오</t>
    </r>
    <r>
      <rPr>
        <sz val="10"/>
        <color rgb="FF56423E"/>
        <rFont val="Arial"/>
        <family val="0"/>
        <charset val="1"/>
      </rPr>
      <t xml:space="preserve">).</t>
    </r>
  </si>
  <si>
    <r>
      <rPr>
        <b val="true"/>
        <sz val="14"/>
        <rFont val="Arial"/>
        <family val="0"/>
        <charset val="1"/>
      </rPr>
      <t xml:space="preserve">Revenue &amp; Volume — 36</t>
    </r>
    <r>
      <rPr>
        <b val="true"/>
        <sz val="14"/>
        <rFont val="PingFang SC"/>
        <family val="2"/>
      </rPr>
      <t xml:space="preserve">개월</t>
    </r>
  </si>
  <si>
    <t xml:space="preserve">Month #</t>
  </si>
  <si>
    <t xml:space="preserve">Date Label</t>
  </si>
  <si>
    <t xml:space="preserve">Orders</t>
  </si>
  <si>
    <t xml:space="preserve">AOV (KRW)</t>
  </si>
  <si>
    <t xml:space="preserve">GMV (KRW)</t>
  </si>
  <si>
    <r>
      <rPr>
        <b val="true"/>
        <sz val="11"/>
        <color rgb="FFFFFFFF"/>
        <rFont val="Arial"/>
        <family val="0"/>
        <charset val="1"/>
      </rPr>
      <t xml:space="preserve">Damii Revenue (KRW, </t>
    </r>
    <r>
      <rPr>
        <b val="true"/>
        <sz val="11"/>
        <color rgb="FFFFFFFF"/>
        <rFont val="PingFang SC"/>
        <family val="2"/>
      </rPr>
      <t xml:space="preserve">총액법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</si>
  <si>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Damii Revenue (USD)</t>
  </si>
  <si>
    <t xml:space="preserve">Cumulative Revenue (KRW)</t>
  </si>
  <si>
    <t xml:space="preserve">2027.01 (M1)</t>
  </si>
  <si>
    <t xml:space="preserve">2027.01 (M2)</t>
  </si>
  <si>
    <t xml:space="preserve">2027.03 (M3)</t>
  </si>
  <si>
    <t xml:space="preserve">2027.04 (M4)</t>
  </si>
  <si>
    <t xml:space="preserve">2027.05 (M5)</t>
  </si>
  <si>
    <t xml:space="preserve">2027.06 (M6)</t>
  </si>
  <si>
    <t xml:space="preserve">2027.07 (M7)</t>
  </si>
  <si>
    <t xml:space="preserve">2027.08 (M8)</t>
  </si>
  <si>
    <t xml:space="preserve">2027.09 (M9)</t>
  </si>
  <si>
    <t xml:space="preserve">2027.10 (M10)</t>
  </si>
  <si>
    <t xml:space="preserve">2027.11 (M11)</t>
  </si>
  <si>
    <t xml:space="preserve">2027.12 (M12)</t>
  </si>
  <si>
    <t xml:space="preserve">2028.01 (M13)</t>
  </si>
  <si>
    <t xml:space="preserve">2028.02 (M14)</t>
  </si>
  <si>
    <t xml:space="preserve">2028.03 (M15)</t>
  </si>
  <si>
    <t xml:space="preserve">2028.04 (M16)</t>
  </si>
  <si>
    <t xml:space="preserve">2028.05 (M17)</t>
  </si>
  <si>
    <t xml:space="preserve">2028.06 (M18)</t>
  </si>
  <si>
    <t xml:space="preserve">2028.07 (M19)</t>
  </si>
  <si>
    <t xml:space="preserve">2028.08 (M20)</t>
  </si>
  <si>
    <t xml:space="preserve">2028.09 (M21)</t>
  </si>
  <si>
    <t xml:space="preserve">2028.10 (M22)</t>
  </si>
  <si>
    <t xml:space="preserve">2028.11 (M23)</t>
  </si>
  <si>
    <t xml:space="preserve">2028.12 (M24)</t>
  </si>
  <si>
    <t xml:space="preserve">2029.01 (M25)</t>
  </si>
  <si>
    <t xml:space="preserve">2029.02 (M26)</t>
  </si>
  <si>
    <t xml:space="preserve">2029.03 (M27)</t>
  </si>
  <si>
    <t xml:space="preserve">2029.04 (M28)</t>
  </si>
  <si>
    <t xml:space="preserve">2029.05 (M29)</t>
  </si>
  <si>
    <t xml:space="preserve">2029.06 (M30)</t>
  </si>
  <si>
    <t xml:space="preserve">2029.07 (M31)</t>
  </si>
  <si>
    <t xml:space="preserve">2029.08 (M32)</t>
  </si>
  <si>
    <t xml:space="preserve">2029.09 (M33)</t>
  </si>
  <si>
    <t xml:space="preserve">2029.10 (M34)</t>
  </si>
  <si>
    <t xml:space="preserve">2029.11 (M35)</t>
  </si>
  <si>
    <t xml:space="preserve">2029.12 (M36)</t>
  </si>
  <si>
    <t xml:space="preserve">Year 1 Total (M1-M12)</t>
  </si>
  <si>
    <t xml:space="preserve">Year 2 Total (M13-M24)</t>
  </si>
  <si>
    <t xml:space="preserve">Year 3 Total (M25-M36)</t>
  </si>
  <si>
    <t xml:space="preserve">3-Year Cumulative GMV</t>
  </si>
  <si>
    <r>
      <rPr>
        <i val="true"/>
        <sz val="10"/>
        <color rgb="FF56423E"/>
        <rFont val="Arial"/>
        <family val="0"/>
        <charset val="1"/>
      </rPr>
      <t xml:space="preserve">→ vs SOM </t>
    </r>
    <r>
      <rPr>
        <i val="true"/>
        <sz val="10"/>
        <color rgb="FF56423E"/>
        <rFont val="PingFang SC"/>
        <family val="2"/>
      </rPr>
      <t xml:space="preserve">보수 </t>
    </r>
    <r>
      <rPr>
        <i val="true"/>
        <sz val="10"/>
        <color rgb="FF56423E"/>
        <rFont val="Arial"/>
        <family val="0"/>
        <charset val="1"/>
      </rPr>
      <t xml:space="preserve">USD 8-25M (UAE only)</t>
    </r>
  </si>
  <si>
    <r>
      <rPr>
        <b val="true"/>
        <sz val="14"/>
        <rFont val="Arial"/>
        <family val="0"/>
        <charset val="1"/>
      </rPr>
      <t xml:space="preserve">Profit &amp; Loss — 36</t>
    </r>
    <r>
      <rPr>
        <b val="true"/>
        <sz val="14"/>
        <rFont val="PingFang SC"/>
        <family val="2"/>
      </rPr>
      <t xml:space="preserve">개월 </t>
    </r>
    <r>
      <rPr>
        <b val="true"/>
        <sz val="14"/>
        <rFont val="Arial"/>
        <family val="0"/>
        <charset val="1"/>
      </rPr>
      <t xml:space="preserve">(</t>
    </r>
    <r>
      <rPr>
        <b val="true"/>
        <sz val="14"/>
        <rFont val="PingFang SC"/>
        <family val="2"/>
      </rPr>
      <t xml:space="preserve">총액법 </t>
    </r>
    <r>
      <rPr>
        <b val="true"/>
        <sz val="14"/>
        <rFont val="Arial"/>
        <family val="0"/>
        <charset val="1"/>
      </rPr>
      <t xml:space="preserve">#079)</t>
    </r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</si>
  <si>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</si>
  <si>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</si>
  <si>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</si>
  <si>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</si>
  <si>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</si>
  <si>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</si>
  <si>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</si>
  <si>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</si>
  <si>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</si>
  <si>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</si>
  <si>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</si>
  <si>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</si>
  <si>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</si>
  <si>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</si>
  <si>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</si>
  <si>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</si>
  <si>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</si>
  <si>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</si>
  <si>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</si>
  <si>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</si>
  <si>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</si>
  <si>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</si>
  <si>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</si>
  <si>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</si>
  <si>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M25</t>
  </si>
  <si>
    <t xml:space="preserve">M26</t>
  </si>
  <si>
    <t xml:space="preserve">M27</t>
  </si>
  <si>
    <t xml:space="preserve">M28</t>
  </si>
  <si>
    <t xml:space="preserve">M29</t>
  </si>
  <si>
    <t xml:space="preserve">M30</t>
  </si>
  <si>
    <t xml:space="preserve">M31</t>
  </si>
  <si>
    <t xml:space="preserve">M32</t>
  </si>
  <si>
    <t xml:space="preserve">M33</t>
  </si>
  <si>
    <t xml:space="preserve">M34</t>
  </si>
  <si>
    <t xml:space="preserve">M35</t>
  </si>
  <si>
    <t xml:space="preserve">M36</t>
  </si>
  <si>
    <t xml:space="preserve">Y1 Total</t>
  </si>
  <si>
    <t xml:space="preserve">Y2 Total</t>
  </si>
  <si>
    <t xml:space="preserve">Y3 Total</t>
  </si>
  <si>
    <r>
      <rPr>
        <b val="true"/>
        <sz val="10"/>
        <rFont val="Arial"/>
        <family val="0"/>
        <charset val="1"/>
      </rPr>
      <t xml:space="preserve">Revenue (</t>
    </r>
    <r>
      <rPr>
        <b val="true"/>
        <sz val="10"/>
        <rFont val="PingFang SC"/>
        <family val="2"/>
      </rPr>
      <t xml:space="preserve">총액법</t>
    </r>
    <r>
      <rPr>
        <b val="true"/>
        <sz val="10"/>
        <rFont val="Arial"/>
        <family val="0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</si>
  <si>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COGS (</t>
    </r>
    <r>
      <rPr>
        <sz val="11"/>
        <color theme="1"/>
        <rFont val="PingFang SC"/>
        <family val="2"/>
      </rPr>
      <t xml:space="preserve">입점사 정산 </t>
    </r>
    <r>
      <rPr>
        <sz val="11"/>
        <color theme="1"/>
        <rFont val="Calibri"/>
        <family val="2"/>
        <charset val="1"/>
      </rPr>
      <t xml:space="preserve">70%)</t>
    </r>
  </si>
  <si>
    <t xml:space="preserve">OPERATING EXPENSES</t>
  </si>
  <si>
    <t xml:space="preserve">Headcount Cost</t>
  </si>
  <si>
    <t xml:space="preserve">Office/SaaS</t>
  </si>
  <si>
    <t xml:space="preserve">Marketing</t>
  </si>
  <si>
    <t xml:space="preserve">Payment Fees</t>
  </si>
  <si>
    <t xml:space="preserve">Total OpEx</t>
  </si>
  <si>
    <t xml:space="preserve">EBITDA</t>
  </si>
  <si>
    <t xml:space="preserve">EBITDA Margin %</t>
  </si>
  <si>
    <r>
      <rPr>
        <b val="true"/>
        <sz val="14"/>
        <rFont val="Arial"/>
        <family val="0"/>
        <charset val="1"/>
      </rPr>
      <t xml:space="preserve">Headcount Plan — </t>
    </r>
    <r>
      <rPr>
        <b val="true"/>
        <sz val="14"/>
        <rFont val="PingFang SC"/>
        <family val="2"/>
      </rPr>
      <t xml:space="preserve">월별 인력</t>
    </r>
    <r>
      <rPr>
        <b val="true"/>
        <sz val="14"/>
        <rFont val="Arial"/>
        <family val="0"/>
        <charset val="1"/>
      </rPr>
      <t xml:space="preserve">·</t>
    </r>
    <r>
      <rPr>
        <b val="true"/>
        <sz val="14"/>
        <rFont val="PingFang SC"/>
        <family val="2"/>
      </rPr>
      <t xml:space="preserve">인건비</t>
    </r>
  </si>
  <si>
    <t xml:space="preserve">FTE Count</t>
  </si>
  <si>
    <t xml:space="preserve">Total Comp (KRW)</t>
  </si>
  <si>
    <t xml:space="preserve">Comp/FTE (KRW)</t>
  </si>
  <si>
    <t xml:space="preserve">Year 1 Total Comp</t>
  </si>
  <si>
    <t xml:space="preserve">Year 2 Total Comp</t>
  </si>
  <si>
    <t xml:space="preserve">Year 3 Total Comp</t>
  </si>
  <si>
    <t xml:space="preserve">3-Year Total</t>
  </si>
  <si>
    <r>
      <rPr>
        <b val="true"/>
        <sz val="14"/>
        <rFont val="Arial"/>
        <family val="0"/>
        <charset val="1"/>
      </rPr>
      <t xml:space="preserve">Cash Flow &amp; Runway — 36</t>
    </r>
    <r>
      <rPr>
        <b val="true"/>
        <sz val="14"/>
        <rFont val="PingFang SC"/>
        <family val="2"/>
      </rPr>
      <t xml:space="preserve">개월</t>
    </r>
  </si>
  <si>
    <t xml:space="preserve">Starting Cash (KRW)</t>
  </si>
  <si>
    <t xml:space="preserve">Pre-A Inflow</t>
  </si>
  <si>
    <t xml:space="preserve">Govt Support Inflow</t>
  </si>
  <si>
    <t xml:space="preserve">Operating CF (EBITDA proxy)</t>
  </si>
  <si>
    <t xml:space="preserve">Ending Cash (KRW)</t>
  </si>
  <si>
    <t xml:space="preserve">Ending Cash (USD)</t>
  </si>
  <si>
    <t xml:space="preserve">Total Pre-A Inflow</t>
  </si>
  <si>
    <t xml:space="preserve">Total Govt Support</t>
  </si>
  <si>
    <t xml:space="preserve">Cumulative Operating CF (3yr)</t>
  </si>
  <si>
    <t xml:space="preserve">M36 Ending Cash</t>
  </si>
  <si>
    <r>
      <rPr>
        <b val="true"/>
        <sz val="14"/>
        <rFont val="Arial"/>
        <family val="0"/>
        <charset val="1"/>
      </rPr>
      <t xml:space="preserve">Pre-A </t>
    </r>
    <r>
      <rPr>
        <b val="true"/>
        <sz val="14"/>
        <rFont val="PingFang SC"/>
        <family val="2"/>
      </rPr>
      <t xml:space="preserve">시나리오 </t>
    </r>
    <r>
      <rPr>
        <b val="true"/>
        <sz val="14"/>
        <rFont val="Arial"/>
        <family val="0"/>
        <charset val="1"/>
      </rPr>
      <t xml:space="preserve">+ </t>
    </r>
    <r>
      <rPr>
        <b val="true"/>
        <sz val="14"/>
        <rFont val="PingFang SC"/>
        <family val="2"/>
      </rPr>
      <t xml:space="preserve">자금 사용처</t>
    </r>
  </si>
  <si>
    <r>
      <rPr>
        <b val="true"/>
        <sz val="11"/>
        <color rgb="FF9F402D"/>
        <rFont val="Arial"/>
        <family val="0"/>
        <charset val="1"/>
      </rPr>
      <t xml:space="preserve">1. Pre-A </t>
    </r>
    <r>
      <rPr>
        <b val="true"/>
        <sz val="11"/>
        <color rgb="FF9F402D"/>
        <rFont val="PingFang SC"/>
        <family val="2"/>
      </rPr>
      <t xml:space="preserve">시나리오 비교</t>
    </r>
  </si>
  <si>
    <t xml:space="preserve">시나리오</t>
  </si>
  <si>
    <t xml:space="preserve">밸류 (KRW)</t>
  </si>
  <si>
    <r>
      <rPr>
        <b val="true"/>
        <sz val="11"/>
        <color rgb="FFFFFFFF"/>
        <rFont val="Arial"/>
        <family val="0"/>
        <charset val="1"/>
      </rPr>
      <t xml:space="preserve">LOI </t>
    </r>
    <r>
      <rPr>
        <b val="true"/>
        <sz val="11"/>
        <color rgb="FFFFFFFF"/>
        <rFont val="PingFang SC"/>
        <family val="2"/>
      </rPr>
      <t xml:space="preserve">요건</t>
    </r>
  </si>
  <si>
    <t xml:space="preserve">시점</t>
  </si>
  <si>
    <t xml:space="preserve">런웨이 (estimated months)</t>
  </si>
  <si>
    <t xml:space="preserve">보수</t>
  </si>
  <si>
    <r>
      <rPr>
        <sz val="10"/>
        <color rgb="FF0000FF"/>
        <rFont val="Arial"/>
        <family val="0"/>
        <charset val="1"/>
      </rPr>
      <t xml:space="preserve">₩40-60</t>
    </r>
    <r>
      <rPr>
        <sz val="10"/>
        <color rgb="FF0000FF"/>
        <rFont val="PingFang SC"/>
        <family val="2"/>
      </rPr>
      <t xml:space="preserve">억</t>
    </r>
  </si>
  <si>
    <r>
      <rPr>
        <sz val="10"/>
        <color rgb="FF000000"/>
        <rFont val="Arial"/>
        <family val="0"/>
        <charset val="1"/>
      </rPr>
      <t xml:space="preserve">5-10</t>
    </r>
    <r>
      <rPr>
        <sz val="10"/>
        <color rgb="FF000000"/>
        <rFont val="PingFang SC"/>
        <family val="2"/>
      </rPr>
      <t xml:space="preserve">건 </t>
    </r>
    <r>
      <rPr>
        <sz val="10"/>
        <color rgb="FF000000"/>
        <rFont val="Arial"/>
        <family val="0"/>
        <charset val="1"/>
      </rPr>
      <t xml:space="preserve">(Indie </t>
    </r>
    <r>
      <rPr>
        <sz val="10"/>
        <color rgb="FF000000"/>
        <rFont val="PingFang SC"/>
        <family val="2"/>
      </rPr>
      <t xml:space="preserve">위주</t>
    </r>
    <r>
      <rPr>
        <sz val="10"/>
        <color rgb="FF000000"/>
        <rFont val="Arial"/>
        <family val="0"/>
        <charset val="1"/>
      </rPr>
      <t xml:space="preserve">)</t>
    </r>
  </si>
  <si>
    <t xml:space="preserve">리서치+팀 만으로 즉시</t>
  </si>
  <si>
    <t xml:space="preserve">15-20</t>
  </si>
  <si>
    <t xml:space="preserve">기본 ⭐</t>
  </si>
  <si>
    <r>
      <rPr>
        <b val="true"/>
        <sz val="10"/>
        <color rgb="FF9F402D"/>
        <rFont val="Arial"/>
        <family val="0"/>
        <charset val="1"/>
      </rPr>
      <t xml:space="preserve">₩60-100</t>
    </r>
    <r>
      <rPr>
        <b val="true"/>
        <sz val="10"/>
        <color rgb="FF9F402D"/>
        <rFont val="PingFang SC"/>
        <family val="2"/>
      </rPr>
      <t xml:space="preserve">억</t>
    </r>
  </si>
  <si>
    <r>
      <rPr>
        <b val="true"/>
        <sz val="10"/>
        <color rgb="FF9F402D"/>
        <rFont val="Arial"/>
        <family val="0"/>
        <charset val="1"/>
      </rPr>
      <t xml:space="preserve">20-30</t>
    </r>
    <r>
      <rPr>
        <b val="true"/>
        <sz val="10"/>
        <color rgb="FF9F402D"/>
        <rFont val="PingFang SC"/>
        <family val="2"/>
      </rPr>
      <t xml:space="preserve">건 </t>
    </r>
    <r>
      <rPr>
        <b val="true"/>
        <sz val="10"/>
        <color rgb="FF9F402D"/>
        <rFont val="Arial"/>
        <family val="0"/>
        <charset val="1"/>
      </rPr>
      <t xml:space="preserve">(Anchor 3-5 + Indie 15-25)</t>
    </r>
  </si>
  <si>
    <r>
      <rPr>
        <b val="true"/>
        <sz val="10"/>
        <color rgb="FF9F402D"/>
        <rFont val="Arial"/>
        <family val="0"/>
        <charset val="1"/>
      </rPr>
      <t xml:space="preserve">6</t>
    </r>
    <r>
      <rPr>
        <b val="true"/>
        <sz val="10"/>
        <color rgb="FF9F402D"/>
        <rFont val="PingFang SC"/>
        <family val="2"/>
      </rPr>
      <t xml:space="preserve">개월 영업 후</t>
    </r>
  </si>
  <si>
    <t xml:space="preserve">24-36</t>
  </si>
  <si>
    <t xml:space="preserve">공격</t>
  </si>
  <si>
    <r>
      <rPr>
        <sz val="10"/>
        <color rgb="FF0000FF"/>
        <rFont val="Arial"/>
        <family val="0"/>
        <charset val="1"/>
      </rPr>
      <t xml:space="preserve">₩100-150</t>
    </r>
    <r>
      <rPr>
        <sz val="10"/>
        <color rgb="FF0000FF"/>
        <rFont val="PingFang SC"/>
        <family val="2"/>
      </rPr>
      <t xml:space="preserve">억</t>
    </r>
  </si>
  <si>
    <r>
      <rPr>
        <sz val="10"/>
        <color rgb="FF000000"/>
        <rFont val="Arial"/>
        <family val="0"/>
        <charset val="1"/>
      </rPr>
      <t xml:space="preserve">35-60</t>
    </r>
    <r>
      <rPr>
        <sz val="10"/>
        <color rgb="FF000000"/>
        <rFont val="PingFang SC"/>
        <family val="2"/>
      </rPr>
      <t xml:space="preserve">건 </t>
    </r>
    <r>
      <rPr>
        <sz val="10"/>
        <color rgb="FF000000"/>
        <rFont val="Arial"/>
        <family val="0"/>
        <charset val="1"/>
      </rPr>
      <t xml:space="preserve">(Anchor 5-10)</t>
    </r>
  </si>
  <si>
    <r>
      <rPr>
        <sz val="10"/>
        <color rgb="FF000000"/>
        <rFont val="Arial"/>
        <family val="0"/>
        <charset val="1"/>
      </rPr>
      <t xml:space="preserve">9-12</t>
    </r>
    <r>
      <rPr>
        <sz val="10"/>
        <color rgb="FF000000"/>
        <rFont val="PingFang SC"/>
        <family val="2"/>
      </rPr>
      <t xml:space="preserve">개월 영업 후</t>
    </r>
  </si>
  <si>
    <t xml:space="preserve">36+</t>
  </si>
  <si>
    <r>
      <rPr>
        <b val="true"/>
        <sz val="11"/>
        <color rgb="FF9F402D"/>
        <rFont val="Arial"/>
        <family val="0"/>
        <charset val="1"/>
      </rPr>
      <t xml:space="preserve">2. Use of Funds — Base ₩80</t>
    </r>
    <r>
      <rPr>
        <b val="true"/>
        <sz val="11"/>
        <color rgb="FF9F402D"/>
        <rFont val="PingFang SC"/>
        <family val="2"/>
      </rPr>
      <t xml:space="preserve">억 시나리오</t>
    </r>
  </si>
  <si>
    <t xml:space="preserve">Category</t>
  </si>
  <si>
    <t xml:space="preserve">비중 (%)</t>
  </si>
  <si>
    <t xml:space="preserve">금액 (KRW)</t>
  </si>
  <si>
    <t xml:space="preserve">용도</t>
  </si>
  <si>
    <t xml:space="preserve">인력 (6명 → 12명)</t>
  </si>
  <si>
    <t xml:space="preserve">개발·디자인·운영·UAE CS 1명</t>
  </si>
  <si>
    <t xml:space="preserve">마케팅·셀러 영업</t>
  </si>
  <si>
    <r>
      <rPr>
        <sz val="10"/>
        <color rgb="FF56423E"/>
        <rFont val="Arial"/>
        <family val="0"/>
        <charset val="1"/>
      </rPr>
      <t xml:space="preserve">Anchor LOI </t>
    </r>
    <r>
      <rPr>
        <sz val="10"/>
        <color rgb="FF56423E"/>
        <rFont val="PingFang SC"/>
        <family val="2"/>
      </rPr>
      <t xml:space="preserve">영업 </t>
    </r>
    <r>
      <rPr>
        <sz val="10"/>
        <color rgb="FF56423E"/>
        <rFont val="Arial"/>
        <family val="0"/>
        <charset val="1"/>
      </rPr>
      <t xml:space="preserve">+ </t>
    </r>
    <r>
      <rPr>
        <sz val="10"/>
        <color rgb="FF56423E"/>
        <rFont val="PingFang SC"/>
        <family val="2"/>
      </rPr>
      <t xml:space="preserve">라마단 캠페인 </t>
    </r>
    <r>
      <rPr>
        <sz val="10"/>
        <color rgb="FF56423E"/>
        <rFont val="Arial"/>
        <family val="0"/>
        <charset val="1"/>
      </rPr>
      <t xml:space="preserve">+ </t>
    </r>
    <r>
      <rPr>
        <sz val="10"/>
        <color rgb="FF56423E"/>
        <rFont val="PingFang SC"/>
        <family val="2"/>
      </rPr>
      <t xml:space="preserve">디지털 광고</t>
    </r>
  </si>
  <si>
    <t xml:space="preserve">기술 인프라</t>
  </si>
  <si>
    <r>
      <rPr>
        <sz val="10"/>
        <color rgb="FF56423E"/>
        <rFont val="Arial"/>
        <family val="0"/>
        <charset val="1"/>
      </rPr>
      <t xml:space="preserve">AI </t>
    </r>
    <r>
      <rPr>
        <sz val="10"/>
        <color rgb="FF56423E"/>
        <rFont val="PingFang SC"/>
        <family val="2"/>
      </rPr>
      <t xml:space="preserve">큐레이션</t>
    </r>
    <r>
      <rPr>
        <sz val="10"/>
        <color rgb="FF56423E"/>
        <rFont val="Arial"/>
        <family val="0"/>
        <charset val="1"/>
      </rPr>
      <t xml:space="preserve">·DDP </t>
    </r>
    <r>
      <rPr>
        <sz val="10"/>
        <color rgb="FF56423E"/>
        <rFont val="PingFang SC"/>
        <family val="2"/>
      </rPr>
      <t xml:space="preserve">시스템</t>
    </r>
    <r>
      <rPr>
        <sz val="10"/>
        <color rgb="FF56423E"/>
        <rFont val="Arial"/>
        <family val="0"/>
        <charset val="1"/>
      </rPr>
      <t xml:space="preserve">·WhatsApp </t>
    </r>
    <r>
      <rPr>
        <sz val="10"/>
        <color rgb="FF56423E"/>
        <rFont val="PingFang SC"/>
        <family val="2"/>
      </rPr>
      <t xml:space="preserve">통합</t>
    </r>
  </si>
  <si>
    <t xml:space="preserve">운영 (3PL·결제)</t>
  </si>
  <si>
    <r>
      <rPr>
        <sz val="10"/>
        <color rgb="FF56423E"/>
        <rFont val="Arial"/>
        <family val="0"/>
        <charset val="1"/>
      </rPr>
      <t xml:space="preserve">CJ + Aramex Intl + Stripe + Tabby </t>
    </r>
    <r>
      <rPr>
        <sz val="10"/>
        <color rgb="FF56423E"/>
        <rFont val="PingFang SC"/>
        <family val="2"/>
      </rPr>
      <t xml:space="preserve">통합</t>
    </r>
  </si>
  <si>
    <t xml:space="preserve">법무·인증·상표</t>
  </si>
  <si>
    <r>
      <rPr>
        <sz val="10"/>
        <color rgb="FF56423E"/>
        <rFont val="Arial"/>
        <family val="0"/>
        <charset val="1"/>
      </rPr>
      <t xml:space="preserve">UAE </t>
    </r>
    <r>
      <rPr>
        <sz val="10"/>
        <color rgb="FF56423E"/>
        <rFont val="PingFang SC"/>
        <family val="2"/>
      </rPr>
      <t xml:space="preserve">상표 </t>
    </r>
    <r>
      <rPr>
        <sz val="10"/>
        <color rgb="FF56423E"/>
        <rFont val="Arial"/>
        <family val="0"/>
        <charset val="1"/>
      </rPr>
      <t xml:space="preserve">+ </t>
    </r>
    <r>
      <rPr>
        <sz val="10"/>
        <color rgb="FF56423E"/>
        <rFont val="PingFang SC"/>
        <family val="2"/>
      </rPr>
      <t xml:space="preserve">변리사 </t>
    </r>
    <r>
      <rPr>
        <sz val="10"/>
        <color rgb="FF56423E"/>
        <rFont val="Arial"/>
        <family val="0"/>
        <charset val="1"/>
      </rPr>
      <t xml:space="preserve">+ </t>
    </r>
    <r>
      <rPr>
        <sz val="10"/>
        <color rgb="FF56423E"/>
        <rFont val="PingFang SC"/>
        <family val="2"/>
      </rPr>
      <t xml:space="preserve">관세사</t>
    </r>
  </si>
  <si>
    <t xml:space="preserve">운영 비용 (12mo 런웨이 보강)</t>
  </si>
  <si>
    <t xml:space="preserve">사무실·SaaS·예비비</t>
  </si>
  <si>
    <r>
      <rPr>
        <b val="true"/>
        <sz val="10"/>
        <rFont val="Arial"/>
        <family val="0"/>
        <charset val="1"/>
      </rPr>
      <t xml:space="preserve">Total (</t>
    </r>
    <r>
      <rPr>
        <b val="true"/>
        <sz val="10"/>
        <rFont val="PingFang SC"/>
        <family val="2"/>
      </rPr>
      <t xml:space="preserve">검증</t>
    </r>
    <r>
      <rPr>
        <b val="true"/>
        <sz val="10"/>
        <rFont val="Arial"/>
        <family val="0"/>
        <charset val="1"/>
      </rPr>
      <t xml:space="preserve">)</t>
    </r>
  </si>
  <si>
    <r>
      <rPr>
        <b val="true"/>
        <sz val="11"/>
        <color rgb="FF9F402D"/>
        <rFont val="Arial"/>
        <family val="0"/>
        <charset val="1"/>
      </rPr>
      <t xml:space="preserve">3. </t>
    </r>
    <r>
      <rPr>
        <b val="true"/>
        <sz val="11"/>
        <color rgb="FF9F402D"/>
        <rFont val="PingFang SC"/>
        <family val="2"/>
      </rPr>
      <t xml:space="preserve">정부지원 별도 ₩</t>
    </r>
    <r>
      <rPr>
        <b val="true"/>
        <sz val="11"/>
        <color rgb="FF9F402D"/>
        <rFont val="Arial"/>
        <family val="0"/>
        <charset val="1"/>
      </rPr>
      <t xml:space="preserve">10-15</t>
    </r>
    <r>
      <rPr>
        <b val="true"/>
        <sz val="11"/>
        <color rgb="FF9F402D"/>
        <rFont val="PingFang SC"/>
        <family val="2"/>
      </rPr>
      <t xml:space="preserve">억 </t>
    </r>
    <r>
      <rPr>
        <b val="true"/>
        <sz val="11"/>
        <color rgb="FF9F402D"/>
        <rFont val="Arial"/>
        <family val="0"/>
        <charset val="1"/>
      </rPr>
      <t xml:space="preserve">(Schedule </t>
    </r>
    <r>
      <rPr>
        <b val="true"/>
        <sz val="11"/>
        <color rgb="FF9F402D"/>
        <rFont val="PingFang SC"/>
        <family val="2"/>
      </rPr>
      <t xml:space="preserve">참고</t>
    </r>
    <r>
      <rPr>
        <b val="true"/>
        <sz val="11"/>
        <color rgb="FF9F402D"/>
        <rFont val="Arial"/>
        <family val="0"/>
        <charset val="1"/>
      </rPr>
      <t xml:space="preserve">: Assumptions §7)</t>
    </r>
  </si>
  <si>
    <t xml:space="preserve">프로그램</t>
  </si>
  <si>
    <t xml:space="preserve">Month</t>
  </si>
  <si>
    <r>
      <rPr>
        <sz val="10"/>
        <color rgb="FF000000"/>
        <rFont val="Arial"/>
        <family val="0"/>
        <charset val="1"/>
      </rPr>
      <t xml:space="preserve">KIDP </t>
    </r>
    <r>
      <rPr>
        <sz val="10"/>
        <color rgb="FF000000"/>
        <rFont val="PingFang SC"/>
        <family val="2"/>
      </rPr>
      <t xml:space="preserve">디자인 바우처</t>
    </r>
  </si>
  <si>
    <t xml:space="preserve">청년일자리도약장려금 (1차)</t>
  </si>
  <si>
    <r>
      <rPr>
        <sz val="10"/>
        <color rgb="FF000000"/>
        <rFont val="Arial"/>
        <family val="0"/>
        <charset val="1"/>
      </rPr>
      <t xml:space="preserve">SBA </t>
    </r>
    <r>
      <rPr>
        <sz val="10"/>
        <color rgb="FF000000"/>
        <rFont val="PingFang SC"/>
        <family val="2"/>
      </rPr>
      <t xml:space="preserve">청년창업</t>
    </r>
  </si>
  <si>
    <r>
      <rPr>
        <sz val="10"/>
        <color rgb="FF000000"/>
        <rFont val="Arial"/>
        <family val="0"/>
        <charset val="1"/>
      </rPr>
      <t xml:space="preserve">TIPS (</t>
    </r>
    <r>
      <rPr>
        <sz val="10"/>
        <color rgb="FF000000"/>
        <rFont val="PingFang SC"/>
        <family val="2"/>
      </rPr>
      <t xml:space="preserve">운영사 추천 시</t>
    </r>
    <r>
      <rPr>
        <sz val="10"/>
        <color rgb="FF000000"/>
        <rFont val="Arial"/>
        <family val="0"/>
        <charset val="1"/>
      </rPr>
      <t xml:space="preserve">)</t>
    </r>
  </si>
  <si>
    <t xml:space="preserve">예비창업패키지</t>
  </si>
  <si>
    <t xml:space="preserve">초기창업패키지</t>
  </si>
  <si>
    <t xml:space="preserve">수출바우처</t>
  </si>
  <si>
    <t xml:space="preserve">합계</t>
  </si>
  <si>
    <r>
      <rPr>
        <b val="true"/>
        <sz val="14"/>
        <rFont val="Arial"/>
        <family val="0"/>
        <charset val="1"/>
      </rPr>
      <t xml:space="preserve">TIPS </t>
    </r>
    <r>
      <rPr>
        <b val="true"/>
        <sz val="14"/>
        <rFont val="PingFang SC"/>
        <family val="2"/>
      </rPr>
      <t xml:space="preserve">통과 </t>
    </r>
    <r>
      <rPr>
        <b val="true"/>
        <sz val="14"/>
        <rFont val="Arial"/>
        <family val="0"/>
        <charset val="1"/>
      </rPr>
      <t xml:space="preserve">vs </t>
    </r>
    <r>
      <rPr>
        <b val="true"/>
        <sz val="14"/>
        <rFont val="PingFang SC"/>
        <family val="2"/>
      </rPr>
      <t xml:space="preserve">미통과 시나리오 비교</t>
    </r>
  </si>
  <si>
    <r>
      <rPr>
        <b val="true"/>
        <sz val="11"/>
        <color rgb="FF9F402D"/>
        <rFont val="Arial"/>
        <family val="0"/>
        <charset val="1"/>
      </rPr>
      <t xml:space="preserve">⚠️ TIPS = </t>
    </r>
    <r>
      <rPr>
        <b val="true"/>
        <sz val="11"/>
        <color rgb="FF9F402D"/>
        <rFont val="PingFang SC"/>
        <family val="2"/>
      </rPr>
      <t xml:space="preserve">운영사 추천 </t>
    </r>
    <r>
      <rPr>
        <b val="true"/>
        <sz val="11"/>
        <color rgb="FF9F402D"/>
        <rFont val="Arial"/>
        <family val="0"/>
        <charset val="1"/>
      </rPr>
      <t xml:space="preserve">+ Pre-A VC </t>
    </r>
    <r>
      <rPr>
        <b val="true"/>
        <sz val="11"/>
        <color rgb="FF9F402D"/>
        <rFont val="PingFang SC"/>
        <family val="2"/>
      </rPr>
      <t xml:space="preserve">매칭 필요 </t>
    </r>
    <r>
      <rPr>
        <b val="true"/>
        <sz val="11"/>
        <color rgb="FF9F402D"/>
        <rFont val="Arial"/>
        <family val="0"/>
        <charset val="1"/>
      </rPr>
      <t xml:space="preserve">(</t>
    </r>
    <r>
      <rPr>
        <b val="true"/>
        <sz val="11"/>
        <color rgb="FF9F402D"/>
        <rFont val="PingFang SC"/>
        <family val="2"/>
      </rPr>
      <t xml:space="preserve">확정 신청 </t>
    </r>
    <r>
      <rPr>
        <b val="true"/>
        <sz val="11"/>
        <color rgb="FF9F402D"/>
        <rFont val="Arial"/>
        <family val="0"/>
        <charset val="1"/>
      </rPr>
      <t xml:space="preserve">X)</t>
    </r>
  </si>
  <si>
    <r>
      <rPr>
        <i val="true"/>
        <sz val="10"/>
        <color rgb="FF56423E"/>
        <rFont val="PingFang SC"/>
        <family val="2"/>
      </rPr>
      <t xml:space="preserve">실패 시 런웨이</t>
    </r>
    <r>
      <rPr>
        <i val="true"/>
        <sz val="10"/>
        <color rgb="FF56423E"/>
        <rFont val="Arial"/>
        <family val="0"/>
        <charset val="1"/>
      </rPr>
      <t xml:space="preserve">·M36 </t>
    </r>
    <r>
      <rPr>
        <i val="true"/>
        <sz val="10"/>
        <color rgb="FF56423E"/>
        <rFont val="PingFang SC"/>
        <family val="2"/>
      </rPr>
      <t xml:space="preserve">현금에 미치는 영향을 별도 시뮬레이션</t>
    </r>
  </si>
  <si>
    <t xml:space="preserve">지표</t>
  </si>
  <si>
    <r>
      <rPr>
        <b val="true"/>
        <sz val="11"/>
        <color rgb="FFFFFFFF"/>
        <rFont val="PingFang SC"/>
        <family val="2"/>
      </rPr>
      <t xml:space="preserve">시나리오 </t>
    </r>
    <r>
      <rPr>
        <b val="true"/>
        <sz val="11"/>
        <color rgb="FFFFFFFF"/>
        <rFont val="Arial"/>
        <family val="0"/>
        <charset val="1"/>
      </rPr>
      <t xml:space="preserve">A: TIPS </t>
    </r>
    <r>
      <rPr>
        <b val="true"/>
        <sz val="11"/>
        <color rgb="FFFFFFFF"/>
        <rFont val="PingFang SC"/>
        <family val="2"/>
      </rPr>
      <t xml:space="preserve">통과</t>
    </r>
  </si>
  <si>
    <r>
      <rPr>
        <b val="true"/>
        <sz val="11"/>
        <color rgb="FFFFFFFF"/>
        <rFont val="PingFang SC"/>
        <family val="2"/>
      </rPr>
      <t xml:space="preserve">시나리오 </t>
    </r>
    <r>
      <rPr>
        <b val="true"/>
        <sz val="11"/>
        <color rgb="FFFFFFFF"/>
        <rFont val="Arial"/>
        <family val="0"/>
        <charset val="1"/>
      </rPr>
      <t xml:space="preserve">B: TIPS </t>
    </r>
    <r>
      <rPr>
        <b val="true"/>
        <sz val="11"/>
        <color rgb="FFFFFFFF"/>
        <rFont val="PingFang SC"/>
        <family val="2"/>
      </rPr>
      <t xml:space="preserve">미통과</t>
    </r>
  </si>
  <si>
    <r>
      <rPr>
        <b val="true"/>
        <sz val="11"/>
        <color rgb="FFFFFFFF"/>
        <rFont val="PingFang SC"/>
        <family val="2"/>
      </rPr>
      <t xml:space="preserve">차이 </t>
    </r>
    <r>
      <rPr>
        <b val="true"/>
        <sz val="11"/>
        <color rgb="FFFFFFFF"/>
        <rFont val="Arial"/>
        <family val="0"/>
        <charset val="1"/>
      </rPr>
      <t xml:space="preserve">(B-A)</t>
    </r>
  </si>
  <si>
    <t xml:space="preserve">비고</t>
  </si>
  <si>
    <t xml:space="preserve">Pre-A Inflow (M3)</t>
  </si>
  <si>
    <r>
      <rPr>
        <i val="true"/>
        <sz val="9"/>
        <rFont val="Arial"/>
        <family val="0"/>
        <charset val="1"/>
      </rPr>
      <t xml:space="preserve">Pre-A </t>
    </r>
    <r>
      <rPr>
        <i val="true"/>
        <sz val="9"/>
        <rFont val="PingFang SC"/>
        <family val="2"/>
      </rPr>
      <t xml:space="preserve">동일</t>
    </r>
  </si>
  <si>
    <t xml:space="preserve">TIPS Inflow (M12)</t>
  </si>
  <si>
    <r>
      <rPr>
        <i val="true"/>
        <sz val="9"/>
        <color rgb="FFC27A1E"/>
        <rFont val="Arial"/>
        <family val="0"/>
        <charset val="1"/>
      </rPr>
      <t xml:space="preserve">B </t>
    </r>
    <r>
      <rPr>
        <i val="true"/>
        <sz val="9"/>
        <color rgb="FFC27A1E"/>
        <rFont val="PingFang SC"/>
        <family val="2"/>
      </rPr>
      <t xml:space="preserve">시나리오는 </t>
    </r>
    <r>
      <rPr>
        <i val="true"/>
        <sz val="9"/>
        <color rgb="FFC27A1E"/>
        <rFont val="Arial"/>
        <family val="0"/>
        <charset val="1"/>
      </rPr>
      <t xml:space="preserve">0</t>
    </r>
  </si>
  <si>
    <r>
      <rPr>
        <sz val="10"/>
        <color rgb="FF000000"/>
        <rFont val="PingFang SC"/>
        <family val="2"/>
      </rPr>
      <t xml:space="preserve">정부지원 누계 </t>
    </r>
    <r>
      <rPr>
        <sz val="10"/>
        <color rgb="FF000000"/>
        <rFont val="Arial"/>
        <family val="0"/>
        <charset val="1"/>
      </rPr>
      <t xml:space="preserve">(TIPS </t>
    </r>
    <r>
      <rPr>
        <sz val="10"/>
        <color rgb="FF000000"/>
        <rFont val="PingFang SC"/>
        <family val="2"/>
      </rPr>
      <t xml:space="preserve">외</t>
    </r>
    <r>
      <rPr>
        <sz val="10"/>
        <color rgb="FF000000"/>
        <rFont val="Arial"/>
        <family val="0"/>
        <charset val="1"/>
      </rPr>
      <t xml:space="preserve">)</t>
    </r>
  </si>
  <si>
    <t xml:space="preserve">확정 신청분</t>
  </si>
  <si>
    <t xml:space="preserve">정부지원 합계</t>
  </si>
  <si>
    <r>
      <rPr>
        <sz val="10"/>
        <color rgb="FF000000"/>
        <rFont val="PingFang SC"/>
        <family val="2"/>
      </rPr>
      <t xml:space="preserve">총 </t>
    </r>
    <r>
      <rPr>
        <sz val="10"/>
        <color rgb="FF000000"/>
        <rFont val="Arial"/>
        <family val="0"/>
        <charset val="1"/>
      </rPr>
      <t xml:space="preserve">inflow (Pre-A + </t>
    </r>
    <r>
      <rPr>
        <sz val="10"/>
        <color rgb="FF000000"/>
        <rFont val="PingFang SC"/>
        <family val="2"/>
      </rPr>
      <t xml:space="preserve">정부지원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</si>
  <si>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Y3 </t>
    </r>
    <r>
      <rPr>
        <sz val="10"/>
        <color rgb="FF000000"/>
        <rFont val="PingFang SC"/>
        <family val="2"/>
      </rPr>
      <t xml:space="preserve">누적 </t>
    </r>
    <r>
      <rPr>
        <sz val="10"/>
        <color rgb="FF000000"/>
        <rFont val="Arial"/>
        <family val="0"/>
        <charset val="1"/>
      </rPr>
      <t xml:space="preserve">Operating Loss (</t>
    </r>
    <r>
      <rPr>
        <sz val="10"/>
        <color rgb="FF000000"/>
        <rFont val="PingFang SC"/>
        <family val="2"/>
      </rPr>
      <t xml:space="preserve">시뮬</t>
    </r>
    <r>
      <rPr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</si>
  <si>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Arial"/>
        <family val="0"/>
        <charset val="1"/>
      </rPr>
      <t xml:space="preserve">M36 Ending Cash (</t>
    </r>
    <r>
      <rPr>
        <sz val="10"/>
        <color rgb="FF000000"/>
        <rFont val="PingFang SC"/>
        <family val="2"/>
      </rPr>
      <t xml:space="preserve">예상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</si>
  <si>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9"/>
        <rFont val="Arial"/>
        <family val="0"/>
        <charset val="1"/>
      </rPr>
      <t xml:space="preserve">36</t>
    </r>
    <r>
      <rPr>
        <i val="true"/>
        <sz val="9"/>
        <rFont val="PingFang SC"/>
        <family val="2"/>
      </rPr>
      <t xml:space="preserve">개월 누적 손실</t>
    </r>
  </si>
  <si>
    <r>
      <rPr>
        <sz val="10"/>
        <color rgb="FF000000"/>
        <rFont val="PingFang SC"/>
        <family val="2"/>
      </rPr>
      <t xml:space="preserve">런웨이 평가 </t>
    </r>
    <r>
      <rPr>
        <sz val="10"/>
        <color rgb="FF000000"/>
        <rFont val="Arial"/>
        <family val="0"/>
        <charset val="1"/>
      </rPr>
      <t xml:space="preserve">(M36 cash &gt; 0</t>
    </r>
    <r>
      <rPr>
        <sz val="10"/>
        <color rgb="FF000000"/>
        <rFont val="PingFang SC"/>
        <family val="2"/>
      </rPr>
      <t xml:space="preserve">이면 </t>
    </r>
    <r>
      <rPr>
        <sz val="10"/>
        <color rgb="FF000000"/>
        <rFont val="Arial"/>
        <family val="0"/>
        <charset val="1"/>
      </rPr>
      <t xml:space="preserve">OK)</t>
    </r>
  </si>
  <si>
    <t xml:space="preserve">핵심 지표</t>
  </si>
  <si>
    <r>
      <rPr>
        <i val="true"/>
        <sz val="9"/>
        <rFont val="Arial"/>
        <family val="0"/>
        <charset val="1"/>
      </rPr>
      <t xml:space="preserve">Toggle </t>
    </r>
    <r>
      <rPr>
        <i val="true"/>
        <sz val="9"/>
        <rFont val="PingFang SC"/>
        <family val="2"/>
      </rPr>
      <t xml:space="preserve">결과 </t>
    </r>
    <r>
      <rPr>
        <i val="true"/>
        <sz val="9"/>
        <rFont val="Arial"/>
        <family val="0"/>
        <charset val="1"/>
      </rPr>
      <t xml:space="preserve">vs </t>
    </r>
    <r>
      <rPr>
        <i val="true"/>
        <sz val="9"/>
        <rFont val="PingFang SC"/>
        <family val="2"/>
      </rPr>
      <t xml:space="preserve">정적 비교</t>
    </r>
  </si>
  <si>
    <t xml:space="preserve">💡 동적 시나리오 사용 방법</t>
  </si>
  <si>
    <r>
      <rPr>
        <sz val="10"/>
        <color rgb="FF56423E"/>
        <rFont val="Arial"/>
        <family val="0"/>
        <charset val="1"/>
      </rPr>
      <t xml:space="preserve">1. Assumptions </t>
    </r>
    <r>
      <rPr>
        <sz val="10"/>
        <color rgb="FF56423E"/>
        <rFont val="PingFang SC"/>
        <family val="2"/>
      </rPr>
      <t xml:space="preserve">시트 </t>
    </r>
    <r>
      <rPr>
        <sz val="10"/>
        <color rgb="FF56423E"/>
        <rFont val="Arial"/>
        <family val="0"/>
        <charset val="1"/>
      </rPr>
      <t xml:space="preserve">B47 </t>
    </r>
    <r>
      <rPr>
        <sz val="10"/>
        <color rgb="FF56423E"/>
        <rFont val="PingFang SC"/>
        <family val="2"/>
      </rPr>
      <t xml:space="preserve">셀</t>
    </r>
    <r>
      <rPr>
        <sz val="10"/>
        <color rgb="FF56423E"/>
        <rFont val="Arial"/>
        <family val="0"/>
        <charset val="1"/>
      </rPr>
      <t xml:space="preserve">(</t>
    </r>
    <r>
      <rPr>
        <sz val="10"/>
        <color rgb="FF56423E"/>
        <rFont val="PingFang SC"/>
        <family val="2"/>
      </rPr>
      <t xml:space="preserve">노란 배경</t>
    </r>
    <r>
      <rPr>
        <sz val="10"/>
        <color rgb="FF56423E"/>
        <rFont val="Arial"/>
        <family val="0"/>
        <charset val="1"/>
      </rPr>
      <t xml:space="preserve">)</t>
    </r>
    <r>
      <rPr>
        <sz val="10"/>
        <color rgb="FF56423E"/>
        <rFont val="PingFang SC"/>
        <family val="2"/>
      </rPr>
      <t xml:space="preserve">을 </t>
    </r>
    <r>
      <rPr>
        <sz val="10"/>
        <color rgb="FF56423E"/>
        <rFont val="Arial"/>
        <family val="0"/>
        <charset val="1"/>
      </rPr>
      <t xml:space="preserve">1 → 0</t>
    </r>
    <r>
      <rPr>
        <sz val="10"/>
        <color rgb="FF56423E"/>
        <rFont val="PingFang SC"/>
        <family val="2"/>
      </rPr>
      <t xml:space="preserve">으로 변경</t>
    </r>
  </si>
  <si>
    <r>
      <rPr>
        <sz val="10"/>
        <color rgb="FF56423E"/>
        <rFont val="Arial"/>
        <family val="0"/>
        <charset val="1"/>
      </rPr>
      <t xml:space="preserve">2. CashFlow </t>
    </r>
    <r>
      <rPr>
        <sz val="10"/>
        <color rgb="FF56423E"/>
        <rFont val="PingFang SC"/>
        <family val="2"/>
      </rPr>
      <t xml:space="preserve">시트의 </t>
    </r>
    <r>
      <rPr>
        <sz val="10"/>
        <color rgb="FF56423E"/>
        <rFont val="Arial"/>
        <family val="0"/>
        <charset val="1"/>
      </rPr>
      <t xml:space="preserve">M12~M36 </t>
    </r>
    <r>
      <rPr>
        <sz val="10"/>
        <color rgb="FF56423E"/>
        <rFont val="PingFang SC"/>
        <family val="2"/>
      </rPr>
      <t xml:space="preserve">행이 자동으로 </t>
    </r>
    <r>
      <rPr>
        <sz val="10"/>
        <color rgb="FF56423E"/>
        <rFont val="Arial"/>
        <family val="0"/>
        <charset val="1"/>
      </rPr>
      <t xml:space="preserve">TIPS </t>
    </r>
    <r>
      <rPr>
        <sz val="10"/>
        <color rgb="FF56423E"/>
        <rFont val="PingFang SC"/>
        <family val="2"/>
      </rPr>
      <t xml:space="preserve">없는 시나리오로 재계산</t>
    </r>
  </si>
  <si>
    <r>
      <rPr>
        <sz val="10"/>
        <color rgb="FF56423E"/>
        <rFont val="Arial"/>
        <family val="0"/>
        <charset val="1"/>
      </rPr>
      <t xml:space="preserve">3. M36 Ending Cash</t>
    </r>
    <r>
      <rPr>
        <sz val="10"/>
        <color rgb="FF56423E"/>
        <rFont val="PingFang SC"/>
        <family val="2"/>
      </rPr>
      <t xml:space="preserve">가 </t>
    </r>
    <r>
      <rPr>
        <sz val="10"/>
        <color rgb="FF56423E"/>
        <rFont val="Arial"/>
        <family val="0"/>
        <charset val="1"/>
      </rPr>
      <t xml:space="preserve">(+)</t>
    </r>
    <r>
      <rPr>
        <sz val="10"/>
        <color rgb="FF56423E"/>
        <rFont val="PingFang SC"/>
        <family val="2"/>
      </rPr>
      <t xml:space="preserve">이면 </t>
    </r>
    <r>
      <rPr>
        <sz val="10"/>
        <color rgb="FF56423E"/>
        <rFont val="Arial"/>
        <family val="0"/>
        <charset val="1"/>
      </rPr>
      <t xml:space="preserve">TIPS </t>
    </r>
    <r>
      <rPr>
        <sz val="10"/>
        <color rgb="FF56423E"/>
        <rFont val="PingFang SC"/>
        <family val="2"/>
      </rPr>
      <t xml:space="preserve">미통과해도 </t>
    </r>
    <r>
      <rPr>
        <sz val="10"/>
        <color rgb="FF56423E"/>
        <rFont val="Arial"/>
        <family val="0"/>
        <charset val="1"/>
      </rPr>
      <t xml:space="preserve">36</t>
    </r>
    <r>
      <rPr>
        <sz val="10"/>
        <color rgb="FF56423E"/>
        <rFont val="PingFang SC"/>
        <family val="2"/>
      </rPr>
      <t xml:space="preserve">개월 런웨이 확보 의미</t>
    </r>
  </si>
  <si>
    <r>
      <rPr>
        <sz val="10"/>
        <color rgb="FF56423E"/>
        <rFont val="Arial"/>
        <family val="0"/>
        <charset val="1"/>
      </rPr>
      <t xml:space="preserve">4. M36 Ending Cash</t>
    </r>
    <r>
      <rPr>
        <sz val="10"/>
        <color rgb="FF56423E"/>
        <rFont val="PingFang SC"/>
        <family val="2"/>
      </rPr>
      <t xml:space="preserve">가 </t>
    </r>
    <r>
      <rPr>
        <sz val="10"/>
        <color rgb="FF56423E"/>
        <rFont val="Arial"/>
        <family val="0"/>
        <charset val="1"/>
      </rPr>
      <t xml:space="preserve">(-)</t>
    </r>
    <r>
      <rPr>
        <sz val="10"/>
        <color rgb="FF56423E"/>
        <rFont val="PingFang SC"/>
        <family val="2"/>
      </rPr>
      <t xml:space="preserve">면 추가 펀딩 </t>
    </r>
    <r>
      <rPr>
        <sz val="10"/>
        <color rgb="FF56423E"/>
        <rFont val="Arial"/>
        <family val="0"/>
        <charset val="1"/>
      </rPr>
      <t xml:space="preserve">(Series A </t>
    </r>
    <r>
      <rPr>
        <sz val="10"/>
        <color rgb="FF56423E"/>
        <rFont val="PingFang SC"/>
        <family val="2"/>
      </rPr>
      <t xml:space="preserve">조기 또는 운영비 절감</t>
    </r>
    <r>
      <rPr>
        <sz val="10"/>
        <color rgb="FF56423E"/>
        <rFont val="Arial"/>
        <family val="0"/>
        <charset val="1"/>
      </rPr>
      <t xml:space="preserve">) </t>
    </r>
    <r>
      <rPr>
        <sz val="10"/>
        <color rgb="FF56423E"/>
        <rFont val="PingFang SC"/>
        <family val="2"/>
      </rPr>
      <t xml:space="preserve">필요</t>
    </r>
  </si>
  <si>
    <t xml:space="preserve">🎯 핵심 결론</t>
  </si>
  <si>
    <r>
      <rPr>
        <sz val="10"/>
        <rFont val="PingFang SC"/>
        <family val="2"/>
      </rPr>
      <t xml:space="preserve">• 재무 모델은 보수적이라 </t>
    </r>
    <r>
      <rPr>
        <sz val="10"/>
        <rFont val="Arial"/>
        <family val="0"/>
        <charset val="1"/>
      </rPr>
      <t xml:space="preserve">TIPS </t>
    </r>
    <r>
      <rPr>
        <sz val="10"/>
        <rFont val="PingFang SC"/>
        <family val="2"/>
      </rPr>
      <t xml:space="preserve">미통과 시에도 </t>
    </r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런웨이 확보 가능 </t>
    </r>
    <r>
      <rPr>
        <sz val="10"/>
        <rFont val="Arial"/>
        <family val="0"/>
        <charset val="1"/>
      </rPr>
      <t xml:space="preserve">(Pre-A ₩80</t>
    </r>
    <r>
      <rPr>
        <sz val="10"/>
        <rFont val="PingFang SC"/>
        <family val="2"/>
      </rPr>
      <t xml:space="preserve">억 </t>
    </r>
    <r>
      <rPr>
        <sz val="10"/>
        <rFont val="Arial"/>
        <family val="0"/>
        <charset val="1"/>
      </rPr>
      <t xml:space="preserve">+ </t>
    </r>
    <r>
      <rPr>
        <sz val="10"/>
        <rFont val="PingFang SC"/>
        <family val="2"/>
      </rPr>
      <t xml:space="preserve">정부지원 ₩</t>
    </r>
    <r>
      <rPr>
        <sz val="10"/>
        <rFont val="Arial"/>
        <family val="0"/>
        <charset val="1"/>
      </rPr>
      <t xml:space="preserve">4-5</t>
    </r>
    <r>
      <rPr>
        <sz val="10"/>
        <rFont val="PingFang SC"/>
        <family val="2"/>
      </rPr>
      <t xml:space="preserve">억</t>
    </r>
    <r>
      <rPr>
        <sz val="10"/>
        <rFont val="Arial"/>
        <family val="0"/>
        <charset val="1"/>
      </rPr>
      <t xml:space="preserve">)</t>
    </r>
  </si>
  <si>
    <r>
      <rPr>
        <sz val="10"/>
        <rFont val="PingFang SC"/>
        <family val="2"/>
      </rPr>
      <t xml:space="preserve">• 단 </t>
    </r>
    <r>
      <rPr>
        <sz val="10"/>
        <rFont val="Arial"/>
        <family val="0"/>
        <charset val="1"/>
      </rPr>
      <t xml:space="preserve">TIPS </t>
    </r>
    <r>
      <rPr>
        <sz val="10"/>
        <rFont val="PingFang SC"/>
        <family val="2"/>
      </rPr>
      <t xml:space="preserve">통과 시 </t>
    </r>
    <r>
      <rPr>
        <sz val="10"/>
        <rFont val="Arial"/>
        <family val="0"/>
        <charset val="1"/>
      </rPr>
      <t xml:space="preserve">M36 </t>
    </r>
    <r>
      <rPr>
        <sz val="10"/>
        <rFont val="PingFang SC"/>
        <family val="2"/>
      </rPr>
      <t xml:space="preserve">현금 ₩</t>
    </r>
    <r>
      <rPr>
        <sz val="10"/>
        <rFont val="Arial"/>
        <family val="0"/>
        <charset val="1"/>
      </rPr>
      <t xml:space="preserve">8</t>
    </r>
    <r>
      <rPr>
        <sz val="10"/>
        <rFont val="PingFang SC"/>
        <family val="2"/>
      </rPr>
      <t xml:space="preserve">억 더 보유 → </t>
    </r>
    <r>
      <rPr>
        <sz val="10"/>
        <rFont val="Arial"/>
        <family val="0"/>
        <charset val="1"/>
      </rPr>
      <t xml:space="preserve">Series A </t>
    </r>
    <r>
      <rPr>
        <sz val="10"/>
        <rFont val="PingFang SC"/>
        <family val="2"/>
      </rPr>
      <t xml:space="preserve">협상력 ↑</t>
    </r>
  </si>
  <si>
    <r>
      <rPr>
        <sz val="10"/>
        <rFont val="Arial"/>
        <family val="0"/>
        <charset val="1"/>
      </rPr>
      <t xml:space="preserve">• Pre-A </t>
    </r>
    <r>
      <rPr>
        <sz val="10"/>
        <rFont val="PingFang SC"/>
        <family val="2"/>
      </rPr>
      <t xml:space="preserve">미팅 시 </t>
    </r>
    <r>
      <rPr>
        <sz val="10"/>
        <rFont val="Arial"/>
        <family val="0"/>
        <charset val="1"/>
      </rPr>
      <t xml:space="preserve">"TIPS</t>
    </r>
    <r>
      <rPr>
        <sz val="10"/>
        <rFont val="PingFang SC"/>
        <family val="2"/>
      </rPr>
      <t xml:space="preserve">는 보너스</t>
    </r>
    <r>
      <rPr>
        <sz val="10"/>
        <rFont val="Arial"/>
        <family val="0"/>
        <charset val="1"/>
      </rPr>
      <t xml:space="preserve">, </t>
    </r>
    <r>
      <rPr>
        <sz val="10"/>
        <rFont val="PingFang SC"/>
        <family val="2"/>
      </rPr>
      <t xml:space="preserve">미통과해도 </t>
    </r>
    <r>
      <rPr>
        <sz val="10"/>
        <rFont val="Arial"/>
        <family val="0"/>
        <charset val="1"/>
      </rPr>
      <t xml:space="preserve">36</t>
    </r>
    <r>
      <rPr>
        <sz val="10"/>
        <rFont val="PingFang SC"/>
        <family val="2"/>
      </rPr>
      <t xml:space="preserve">개월 </t>
    </r>
    <r>
      <rPr>
        <sz val="10"/>
        <rFont val="Arial"/>
        <family val="0"/>
        <charset val="1"/>
      </rPr>
      <t xml:space="preserve">OK"</t>
    </r>
    <r>
      <rPr>
        <sz val="10"/>
        <rFont val="PingFang SC"/>
        <family val="2"/>
      </rPr>
      <t xml:space="preserve">로 솔직하게 표현 권장</t>
    </r>
  </si>
  <si>
    <r>
      <rPr>
        <sz val="10"/>
        <rFont val="Arial"/>
        <family val="0"/>
        <charset val="1"/>
      </rPr>
      <t xml:space="preserve">• K-</t>
    </r>
    <r>
      <rPr>
        <sz val="10"/>
        <rFont val="PingFang SC"/>
        <family val="2"/>
      </rPr>
      <t xml:space="preserve">스타트업 본선 </t>
    </r>
    <r>
      <rPr>
        <sz val="10"/>
        <rFont val="Arial"/>
        <family val="0"/>
        <charset val="1"/>
      </rPr>
      <t xml:space="preserve">(</t>
    </r>
    <r>
      <rPr>
        <sz val="10"/>
        <rFont val="PingFang SC"/>
        <family val="2"/>
      </rPr>
      <t xml:space="preserve">상금 ₩</t>
    </r>
    <r>
      <rPr>
        <sz val="10"/>
        <rFont val="Arial"/>
        <family val="0"/>
        <charset val="1"/>
      </rPr>
      <t xml:space="preserve">5</t>
    </r>
    <r>
      <rPr>
        <sz val="10"/>
        <rFont val="PingFang SC"/>
        <family val="2"/>
      </rPr>
      <t xml:space="preserve">억</t>
    </r>
    <r>
      <rPr>
        <sz val="10"/>
        <rFont val="Arial"/>
        <family val="0"/>
        <charset val="1"/>
      </rPr>
      <t xml:space="preserve">)</t>
    </r>
    <r>
      <rPr>
        <sz val="10"/>
        <rFont val="PingFang SC"/>
        <family val="2"/>
      </rPr>
      <t xml:space="preserve">도 동일 — 보너스로 분류</t>
    </r>
  </si>
  <si>
    <t xml:space="preserve">Sensitivity Analysis — AOV × Volume</t>
  </si>
  <si>
    <r>
      <rPr>
        <b val="true"/>
        <sz val="11"/>
        <color rgb="FF9F402D"/>
        <rFont val="Arial"/>
        <family val="0"/>
        <charset val="1"/>
      </rPr>
      <t xml:space="preserve">3-Year Cumulative Damii Revenue (KRW) — AOV (</t>
    </r>
    <r>
      <rPr>
        <b val="true"/>
        <sz val="11"/>
        <color rgb="FF9F402D"/>
        <rFont val="PingFang SC"/>
        <family val="2"/>
      </rPr>
      <t xml:space="preserve">행</t>
    </r>
    <r>
      <rPr>
        <b val="true"/>
        <sz val="11"/>
        <color rgb="FF9F402D"/>
        <rFont val="Arial"/>
        <family val="0"/>
        <charset val="1"/>
      </rPr>
      <t xml:space="preserve">) × Volume Multiplier (</t>
    </r>
    <r>
      <rPr>
        <b val="true"/>
        <sz val="11"/>
        <color rgb="FF9F402D"/>
        <rFont val="PingFang SC"/>
        <family val="2"/>
      </rPr>
      <t xml:space="preserve">열</t>
    </r>
    <r>
      <rPr>
        <b val="true"/>
        <sz val="11"/>
        <color rgb="FF9F402D"/>
        <rFont val="Arial"/>
        <family val="0"/>
        <charset val="1"/>
      </rPr>
      <t xml:space="preserve">)</t>
    </r>
  </si>
  <si>
    <t xml:space="preserve">AOV (USD) ↓ / Volume Multiplier →</t>
  </si>
  <si>
    <t xml:space="preserve">💡 해석: 노란 셀 = base case (AOV $50 / vm 1.0). 좌상단 = 보수, 우하단 = 공격</t>
  </si>
  <si>
    <t xml:space="preserve">시나리오 라벨링</t>
  </si>
  <si>
    <t xml:space="preserve">AOV $30 × Volume 0.5x</t>
  </si>
  <si>
    <r>
      <rPr>
        <sz val="10"/>
        <color rgb="FF000000"/>
        <rFont val="Arial"/>
        <family val="0"/>
        <charset val="1"/>
      </rPr>
      <t xml:space="preserve">B6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좌상단 최보수</t>
    </r>
    <r>
      <rPr>
        <sz val="10"/>
        <color rgb="FF000000"/>
        <rFont val="Arial"/>
        <family val="0"/>
        <charset val="1"/>
      </rPr>
      <t xml:space="preserve">)</t>
    </r>
  </si>
  <si>
    <t xml:space="preserve">시장 검증 실패 시</t>
  </si>
  <si>
    <t xml:space="preserve">AOV $50 × Volume 1.0x</t>
  </si>
  <si>
    <r>
      <rPr>
        <sz val="10"/>
        <color rgb="FF000000"/>
        <rFont val="Arial"/>
        <family val="0"/>
        <charset val="1"/>
      </rPr>
      <t xml:space="preserve">D8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(Base case ⭐)</t>
    </r>
  </si>
  <si>
    <t xml:space="preserve">계획 시나리오</t>
  </si>
  <si>
    <t xml:space="preserve">AOV $80 × Volume 1.5x</t>
  </si>
  <si>
    <r>
      <rPr>
        <sz val="10"/>
        <color rgb="FF000000"/>
        <rFont val="Arial"/>
        <family val="0"/>
        <charset val="1"/>
      </rPr>
      <t xml:space="preserve">F10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</t>
    </r>
    <r>
      <rPr>
        <sz val="10"/>
        <color rgb="FF000000"/>
        <rFont val="PingFang SC"/>
        <family val="2"/>
      </rPr>
      <t xml:space="preserve">공격</t>
    </r>
    <r>
      <rPr>
        <sz val="10"/>
        <color rgb="FF000000"/>
        <rFont val="Arial"/>
        <family val="0"/>
        <charset val="1"/>
      </rPr>
      <t xml:space="preserve">)</t>
    </r>
  </si>
  <si>
    <r>
      <rPr>
        <i val="true"/>
        <sz val="10"/>
        <color rgb="FF56423E"/>
        <rFont val="Arial"/>
        <family val="0"/>
        <charset val="1"/>
      </rPr>
      <t xml:space="preserve">Anchor 5+ </t>
    </r>
    <r>
      <rPr>
        <i val="true"/>
        <sz val="10"/>
        <color rgb="FF56423E"/>
        <rFont val="PingFang SC"/>
        <family val="2"/>
      </rPr>
      <t xml:space="preserve">동시 라이브 시</t>
    </r>
  </si>
  <si>
    <t xml:space="preserve">AOV $100 × Volume 2.0x</t>
  </si>
  <si>
    <r>
      <rPr>
        <sz val="10"/>
        <color rgb="FF000000"/>
        <rFont val="Arial"/>
        <family val="0"/>
        <charset val="1"/>
      </rPr>
      <t xml:space="preserve">G11 </t>
    </r>
    <r>
      <rPr>
        <sz val="10"/>
        <color rgb="FF000000"/>
        <rFont val="PingFang SC"/>
        <family val="2"/>
      </rPr>
      <t xml:space="preserve">셀 </t>
    </r>
    <r>
      <rPr>
        <sz val="10"/>
        <color rgb="FF000000"/>
        <rFont val="Arial"/>
        <family val="0"/>
        <charset val="1"/>
      </rPr>
      <t xml:space="preserve">(best case)</t>
    </r>
  </si>
  <si>
    <r>
      <rPr>
        <i val="true"/>
        <sz val="10"/>
        <color rgb="FF56423E"/>
        <rFont val="Arial"/>
        <family val="0"/>
        <charset val="1"/>
      </rPr>
      <t xml:space="preserve">GCC </t>
    </r>
    <r>
      <rPr>
        <i val="true"/>
        <sz val="10"/>
        <color rgb="FF56423E"/>
        <rFont val="PingFang SC"/>
        <family val="2"/>
      </rPr>
      <t xml:space="preserve">조기 진입 </t>
    </r>
    <r>
      <rPr>
        <i val="true"/>
        <sz val="10"/>
        <color rgb="FF56423E"/>
        <rFont val="Arial"/>
        <family val="0"/>
        <charset val="1"/>
      </rPr>
      <t xml:space="preserve">+ </t>
    </r>
    <r>
      <rPr>
        <i val="true"/>
        <sz val="10"/>
        <color rgb="FF56423E"/>
        <rFont val="PingFang SC"/>
        <family val="2"/>
      </rPr>
      <t xml:space="preserve">럭셔리 </t>
    </r>
    <r>
      <rPr>
        <i val="true"/>
        <sz val="10"/>
        <color rgb="FF56423E"/>
        <rFont val="Arial"/>
        <family val="0"/>
        <charset val="1"/>
      </rPr>
      <t xml:space="preserve">SKU </t>
    </r>
    <r>
      <rPr>
        <i val="true"/>
        <sz val="10"/>
        <color rgb="FF56423E"/>
        <rFont val="PingFang SC"/>
        <family val="2"/>
      </rPr>
      <t xml:space="preserve">비중 ↑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</si>
</sst>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\$#,##0"/>
    <numFmt numFmtId="167" formatCode="0.0%"/>
    <numFmt numFmtId="168" formatCode="0"/>
    <numFmt numFmtId="169" formatCode="\$#,##0.00"/>
    <numFmt numFmtId="170" formatCode="#,##0;\(#,##0\)"/>
    <numFmt numFmtId="171" formatCode="0.0%;\(0.0%\);\-"/>
    <numFmt numFmtId="172" formatCode="#,##0;\-;\-"/>
    <numFmt numFmtId="173" formatCode="#,##0;\(#,##0\);\-"/>
    <numFmt numFmtId="174" formatCode="0.00\x"/>
  </numFmts>
  <fonts count="4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9F402D"/>
      <name val="Arial"/>
      <family val="0"/>
      <charset val="1"/>
    </font>
    <font>
      <i val="true"/>
      <sz val="10"/>
      <color rgb="FF56423E"/>
      <name val="Arial"/>
      <family val="0"/>
      <charset val="1"/>
    </font>
    <font>
      <b val="true"/>
      <sz val="11"/>
      <color rgb="FF9F402D"/>
      <name val="Arial"/>
      <family val="0"/>
      <charset val="1"/>
    </font>
    <font>
      <b val="true"/>
      <sz val="11"/>
      <color rgb="FF9F402D"/>
      <name val="PingFang SC"/>
      <family val="2"/>
    </font>
    <font>
      <b val="true"/>
      <sz val="10"/>
      <name val="PingFang SC"/>
      <family val="2"/>
      <charset val="1"/>
    </font>
    <font>
      <sz val="10"/>
      <name val="Arial"/>
      <family val="0"/>
      <charset val="1"/>
    </font>
    <font>
      <sz val="10"/>
      <name val="PingFang SC"/>
      <family val="2"/>
    </font>
    <font>
      <sz val="10"/>
      <name val="PingFang SC"/>
      <family val="2"/>
      <charset val="1"/>
    </font>
    <font>
      <b val="true"/>
      <sz val="10"/>
      <name val="Arial"/>
      <family val="0"/>
      <charset val="1"/>
    </font>
    <font>
      <i val="true"/>
      <sz val="10"/>
      <color rgb="FFC27A1E"/>
      <name val="PingFang SC"/>
      <family val="2"/>
      <charset val="1"/>
    </font>
    <font>
      <i val="true"/>
      <sz val="10"/>
      <color rgb="FF9F402D"/>
      <name val="Arial"/>
      <family val="0"/>
      <charset val="1"/>
    </font>
    <font>
      <i val="true"/>
      <sz val="10"/>
      <color rgb="FF9F402D"/>
      <name val="PingFang SC"/>
      <family val="2"/>
    </font>
    <font>
      <b val="true"/>
      <sz val="14"/>
      <name val="Arial"/>
      <family val="0"/>
      <charset val="1"/>
    </font>
    <font>
      <b val="true"/>
      <sz val="14"/>
      <name val="PingFang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6423E"/>
      <name val="Arial"/>
      <family val="0"/>
      <charset val="1"/>
    </font>
    <font>
      <i val="true"/>
      <sz val="9"/>
      <color rgb="FF56423E"/>
      <name val="PingFang SC"/>
      <family val="2"/>
    </font>
    <font>
      <sz val="10"/>
      <color rgb="FF000000"/>
      <name val="PingFang SC"/>
      <family val="2"/>
    </font>
    <font>
      <sz val="10"/>
      <color rgb="FF000000"/>
      <name val="PingFang SC"/>
      <family val="2"/>
      <charset val="1"/>
    </font>
    <font>
      <b val="true"/>
      <sz val="11"/>
      <color rgb="FF9F402D"/>
      <name val="PingFang SC"/>
      <family val="2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56423E"/>
      <name val="Arial"/>
      <family val="0"/>
      <charset val="1"/>
    </font>
    <font>
      <sz val="10"/>
      <color rgb="FF56423E"/>
      <name val="PingFang SC"/>
      <family val="2"/>
    </font>
    <font>
      <sz val="10"/>
      <color rgb="FF56423E"/>
      <name val="PingFang SC"/>
      <family val="2"/>
      <charset val="1"/>
    </font>
    <font>
      <b val="true"/>
      <sz val="11"/>
      <color rgb="FFFFFFFF"/>
      <name val="PingFang SC"/>
      <family val="2"/>
    </font>
    <font>
      <i val="true"/>
      <sz val="10"/>
      <color rgb="FF56423E"/>
      <name val="PingFang SC"/>
      <family val="2"/>
    </font>
    <font>
      <b val="true"/>
      <sz val="10"/>
      <name val="PingFang SC"/>
      <family val="2"/>
    </font>
    <font>
      <sz val="11"/>
      <color theme="1"/>
      <name val="PingFang SC"/>
      <family val="2"/>
    </font>
    <font>
      <b val="true"/>
      <sz val="11"/>
      <color rgb="FFFFFFFF"/>
      <name val="PingFang SC"/>
      <family val="2"/>
      <charset val="1"/>
    </font>
    <font>
      <sz val="10"/>
      <color rgb="FF0000FF"/>
      <name val="PingFang SC"/>
      <family val="2"/>
    </font>
    <font>
      <b val="true"/>
      <sz val="10"/>
      <color rgb="FF9F402D"/>
      <name val="PingFang SC"/>
      <family val="2"/>
      <charset val="1"/>
    </font>
    <font>
      <b val="true"/>
      <sz val="10"/>
      <color rgb="FF9F402D"/>
      <name val="Arial"/>
      <family val="0"/>
      <charset val="1"/>
    </font>
    <font>
      <b val="true"/>
      <sz val="10"/>
      <color rgb="FF9F402D"/>
      <name val="PingFang SC"/>
      <family val="2"/>
    </font>
    <font>
      <i val="true"/>
      <sz val="9"/>
      <name val="Arial"/>
      <family val="0"/>
      <charset val="1"/>
    </font>
    <font>
      <i val="true"/>
      <sz val="9"/>
      <name val="PingFang SC"/>
      <family val="2"/>
    </font>
    <font>
      <i val="true"/>
      <sz val="9"/>
      <color rgb="FFC27A1E"/>
      <name val="Arial"/>
      <family val="0"/>
      <charset val="1"/>
    </font>
    <font>
      <i val="true"/>
      <sz val="9"/>
      <color rgb="FFC27A1E"/>
      <name val="PingFang SC"/>
      <family val="2"/>
    </font>
    <font>
      <i val="true"/>
      <sz val="9"/>
      <color rgb="FF9F402D"/>
      <name val="PingFang SC"/>
      <family val="2"/>
    </font>
    <font>
      <i val="true"/>
      <sz val="10"/>
      <color rgb="FF56423E"/>
      <name val="PingFang SC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DAD3"/>
        <bgColor rgb="FFF5F3F1"/>
      </patternFill>
    </fill>
    <fill>
      <patternFill patternType="solid">
        <fgColor rgb="FFFFFF00"/>
        <bgColor rgb="FFFFFF00"/>
      </patternFill>
    </fill>
    <fill>
      <patternFill patternType="solid">
        <fgColor rgb="FF9F402D"/>
        <bgColor rgb="FF993366"/>
      </patternFill>
    </fill>
    <fill>
      <patternFill patternType="solid">
        <fgColor rgb="FFF5F3F1"/>
        <bgColor rgb="FFFFFFFF"/>
      </patternFill>
    </fill>
    <fill>
      <patternFill patternType="solid">
        <fgColor rgb="FFD9E7CE"/>
        <bgColor rgb="FFF5F3F1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27A1E"/>
      <rgbColor rgb="FF800080"/>
      <rgbColor rgb="FF008080"/>
      <rgbColor rgb="FFC0C0C0"/>
      <rgbColor rgb="FF808080"/>
      <rgbColor rgb="FF9999FF"/>
      <rgbColor rgb="FF993366"/>
      <rgbColor rgb="FFF5F3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7CE"/>
      <rgbColor rgb="FFFFFF99"/>
      <rgbColor rgb="FF99CCFF"/>
      <rgbColor rgb="FFFF99CC"/>
      <rgbColor rgb="FFCC99FF"/>
      <rgbColor rgb="FFFFDA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F402D"/>
      <rgbColor rgb="FF993366"/>
      <rgbColor rgb="FF333399"/>
      <rgbColor rgb="FF5642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45"/>
    <col collapsed="false" customWidth="true" hidden="false" outlineLevel="0" max="6" min="3" style="1" width="15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6.5" hidden="false" customHeight="true" outlineLevel="0" collapsed="false">
      <c r="A4" s="4" t="s">
        <v>2</v>
      </c>
      <c r="B4" s="4"/>
      <c r="C4" s="4"/>
      <c r="D4" s="4"/>
      <c r="E4" s="4"/>
      <c r="F4" s="4"/>
    </row>
    <row r="6" customFormat="false" ht="15" hidden="false" customHeight="true" outlineLevel="0" collapsed="false">
      <c r="A6" s="5" t="s">
        <v>3</v>
      </c>
      <c r="B6" s="5" t="s">
        <v>4</v>
      </c>
    </row>
    <row r="7" customFormat="false" ht="15" hidden="false" customHeight="true" outlineLevel="0" collapsed="false">
      <c r="A7" s="6" t="s">
        <v>5</v>
      </c>
      <c r="B7" s="6" t="s">
        <v>6</v>
      </c>
    </row>
    <row r="8" customFormat="false" ht="15" hidden="false" customHeight="true" outlineLevel="0" collapsed="false">
      <c r="A8" s="6" t="s">
        <v>7</v>
      </c>
      <c r="B8" s="6" t="s">
        <v>8</v>
      </c>
    </row>
    <row r="9" customFormat="false" ht="15" hidden="false" customHeight="true" outlineLevel="0" collapsed="false">
      <c r="A9" s="6" t="s">
        <v>9</v>
      </c>
      <c r="B9" s="6" t="s">
        <v>10</v>
      </c>
    </row>
    <row r="10" customFormat="false" ht="15" hidden="false" customHeight="true" outlineLevel="0" collapsed="false">
      <c r="A10" s="7" t="s">
        <v>11</v>
      </c>
      <c r="B10" s="7" t="s">
        <v>12</v>
      </c>
    </row>
    <row r="11" customFormat="false" ht="15" hidden="false" customHeight="true" outlineLevel="0" collapsed="false">
      <c r="A11" s="7" t="s">
        <v>13</v>
      </c>
      <c r="B11" s="7" t="s">
        <v>14</v>
      </c>
    </row>
    <row r="12" customFormat="false" ht="15" hidden="false" customHeight="true" outlineLevel="0" collapsed="false">
      <c r="A12" s="6" t="s">
        <v>15</v>
      </c>
      <c r="B12" s="6" t="s">
        <v>16</v>
      </c>
    </row>
    <row r="13" customFormat="false" ht="15" hidden="false" customHeight="true" outlineLevel="0" collapsed="false">
      <c r="A13" s="6" t="s">
        <v>17</v>
      </c>
      <c r="B13" s="6" t="s">
        <v>18</v>
      </c>
    </row>
    <row r="14" customFormat="false" ht="15" hidden="false" customHeight="true" outlineLevel="0" collapsed="false">
      <c r="A14" s="6" t="s">
        <v>19</v>
      </c>
      <c r="B14" s="6" t="s">
        <v>20</v>
      </c>
    </row>
    <row r="15" customFormat="false" ht="15" hidden="false" customHeight="true" outlineLevel="0" collapsed="false">
      <c r="A15" s="6" t="s">
        <v>21</v>
      </c>
      <c r="B15" s="6" t="s">
        <v>22</v>
      </c>
    </row>
    <row r="16" customFormat="false" ht="15" hidden="false" customHeight="true" outlineLevel="0" collapsed="false">
      <c r="A16" s="6" t="s">
        <v>23</v>
      </c>
      <c r="B16" s="6" t="s">
        <v>24</v>
      </c>
    </row>
    <row r="17" customFormat="false" ht="15" hidden="false" customHeight="true" outlineLevel="0" collapsed="false">
      <c r="A17" s="7" t="s">
        <v>25</v>
      </c>
      <c r="B17" s="6" t="s">
        <v>26</v>
      </c>
    </row>
    <row r="18" customFormat="false" ht="15" hidden="false" customHeight="true" outlineLevel="0" collapsed="false">
      <c r="A18" s="7" t="s">
        <v>27</v>
      </c>
      <c r="B18" s="6" t="s">
        <v>28</v>
      </c>
    </row>
    <row r="19" customFormat="false" ht="15" hidden="false" customHeight="true" outlineLevel="0" collapsed="false">
      <c r="A19" s="6" t="s">
        <v>29</v>
      </c>
      <c r="B19" s="7" t="s">
        <v>30</v>
      </c>
    </row>
    <row r="20" customFormat="false" ht="15" hidden="false" customHeight="true" outlineLevel="0" collapsed="false">
      <c r="A20" s="6" t="s">
        <v>31</v>
      </c>
      <c r="B20" s="6" t="s">
        <v>32</v>
      </c>
    </row>
    <row r="22" customFormat="false" ht="16.5" hidden="false" customHeight="true" outlineLevel="0" collapsed="false">
      <c r="A22" s="4" t="s">
        <v>33</v>
      </c>
      <c r="B22" s="4"/>
      <c r="C22" s="4"/>
      <c r="D22" s="4"/>
      <c r="E22" s="4"/>
      <c r="F22" s="4"/>
    </row>
    <row r="24" customFormat="false" ht="15" hidden="false" customHeight="true" outlineLevel="0" collapsed="false">
      <c r="A24" s="8" t="s">
        <v>34</v>
      </c>
      <c r="B24" s="8" t="s">
        <v>35</v>
      </c>
      <c r="C24" s="5" t="s">
        <v>36</v>
      </c>
    </row>
    <row r="25" customFormat="false" ht="15" hidden="false" customHeight="true" outlineLevel="0" collapsed="false">
      <c r="A25" s="6" t="n">
        <v>1</v>
      </c>
      <c r="B25" s="6" t="s">
        <v>37</v>
      </c>
      <c r="C25" s="7" t="s">
        <v>38</v>
      </c>
    </row>
    <row r="26" customFormat="false" ht="15" hidden="false" customHeight="true" outlineLevel="0" collapsed="false">
      <c r="A26" s="6" t="n">
        <v>2</v>
      </c>
      <c r="B26" s="6" t="s">
        <v>39</v>
      </c>
      <c r="C26" s="7" t="s">
        <v>40</v>
      </c>
    </row>
    <row r="27" customFormat="false" ht="15" hidden="false" customHeight="true" outlineLevel="0" collapsed="false">
      <c r="A27" s="6" t="n">
        <v>3</v>
      </c>
      <c r="B27" s="6" t="s">
        <v>41</v>
      </c>
      <c r="C27" s="7" t="s">
        <v>42</v>
      </c>
    </row>
    <row r="28" customFormat="false" ht="15" hidden="false" customHeight="true" outlineLevel="0" collapsed="false">
      <c r="A28" s="6" t="n">
        <v>4</v>
      </c>
      <c r="B28" s="6" t="s">
        <v>43</v>
      </c>
      <c r="C28" s="6" t="s">
        <v>44</v>
      </c>
    </row>
    <row r="29" customFormat="false" ht="15" hidden="false" customHeight="true" outlineLevel="0" collapsed="false">
      <c r="A29" s="6" t="n">
        <v>5</v>
      </c>
      <c r="B29" s="6" t="s">
        <v>45</v>
      </c>
      <c r="C29" s="6" t="s">
        <v>46</v>
      </c>
    </row>
    <row r="30" customFormat="false" ht="15" hidden="false" customHeight="true" outlineLevel="0" collapsed="false">
      <c r="A30" s="6" t="n">
        <v>6</v>
      </c>
      <c r="B30" s="6" t="s">
        <v>47</v>
      </c>
      <c r="C30" s="7" t="s">
        <v>48</v>
      </c>
    </row>
    <row r="31" customFormat="false" ht="15" hidden="false" customHeight="true" outlineLevel="0" collapsed="false">
      <c r="A31" s="6" t="n">
        <v>7</v>
      </c>
      <c r="B31" s="6" t="s">
        <v>49</v>
      </c>
      <c r="C31" s="7" t="s">
        <v>50</v>
      </c>
    </row>
    <row r="32" customFormat="false" ht="15" hidden="false" customHeight="true" outlineLevel="0" collapsed="false">
      <c r="A32" s="6" t="n">
        <v>8</v>
      </c>
      <c r="B32" s="6" t="s">
        <v>51</v>
      </c>
      <c r="C32" s="6" t="s">
        <v>52</v>
      </c>
    </row>
    <row r="33" customFormat="false" ht="15" hidden="false" customHeight="true" outlineLevel="0" collapsed="false">
      <c r="A33" s="6" t="n">
        <v>9</v>
      </c>
      <c r="B33" s="6" t="s">
        <v>53</v>
      </c>
      <c r="C33" s="6" t="s">
        <v>54</v>
      </c>
    </row>
    <row r="35" customFormat="false" ht="14.25" hidden="false" customHeight="true" outlineLevel="0" collapsed="false">
      <c r="A35" s="9" t="s">
        <v>55</v>
      </c>
      <c r="B35" s="9"/>
      <c r="C35" s="9"/>
      <c r="D35" s="9"/>
      <c r="E35" s="9"/>
      <c r="F35" s="9"/>
    </row>
    <row r="36" customFormat="false" ht="14.9" hidden="false" customHeight="false" outlineLevel="0" collapsed="false">
      <c r="A36" s="10" t="s">
        <v>56</v>
      </c>
      <c r="B36" s="10"/>
      <c r="C36" s="10"/>
      <c r="D36" s="10"/>
      <c r="E36" s="10"/>
      <c r="F36" s="10"/>
    </row>
  </sheetData>
  <mergeCells count="6">
    <mergeCell ref="A1:F1"/>
    <mergeCell ref="A2:F2"/>
    <mergeCell ref="A4:F4"/>
    <mergeCell ref="A22:F22"/>
    <mergeCell ref="A35:F35"/>
    <mergeCell ref="A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7" min="2" style="1" width="18"/>
  </cols>
  <sheetData>
    <row r="1" customFormat="false" ht="17.25" hidden="false" customHeight="true" outlineLevel="0" collapsed="false">
      <c r="A1" s="11" t="s">
        <v>360</v>
      </c>
      <c r="B1" s="11"/>
      <c r="C1" s="11"/>
      <c r="D1" s="11"/>
      <c r="E1" s="11"/>
      <c r="F1" s="11"/>
      <c r="G1" s="11"/>
      <c r="H1" s="11"/>
    </row>
    <row r="3" customFormat="false" ht="16.5" hidden="false" customHeight="true" outlineLevel="0" collapsed="false">
      <c r="A3" s="44" t="s">
        <v>361</v>
      </c>
    </row>
    <row r="5" customFormat="false" ht="15" hidden="false" customHeight="true" outlineLevel="0" collapsed="false">
      <c r="A5" s="25" t="s">
        <v>362</v>
      </c>
      <c r="B5" s="82" t="n">
        <v>0.5</v>
      </c>
      <c r="C5" s="82" t="n">
        <v>0.75</v>
      </c>
      <c r="D5" s="82" t="n">
        <v>1</v>
      </c>
      <c r="E5" s="82" t="n">
        <v>1.25</v>
      </c>
      <c r="F5" s="82" t="n">
        <v>1.5</v>
      </c>
      <c r="G5" s="82" t="n">
        <v>2</v>
      </c>
    </row>
    <row r="6" customFormat="false" ht="15" hidden="false" customHeight="true" outlineLevel="0" collapsed="false">
      <c r="A6" s="83" t="n">
        <v>30</v>
      </c>
      <c r="B6" s="34" t="n">
        <f aca="false">Revenue!H39*(30/Assumptions!$B$7)*0.5</f>
        <v>2651957274.51701</v>
      </c>
      <c r="C6" s="34" t="n">
        <f aca="false">Revenue!H39*(30/Assumptions!$B$7)*0.75</f>
        <v>3977935911.77551</v>
      </c>
      <c r="D6" s="34" t="n">
        <f aca="false">Revenue!H39*(30/Assumptions!$B$7)*1</f>
        <v>5303914549.03402</v>
      </c>
      <c r="E6" s="34" t="n">
        <f aca="false">Revenue!H39*(30/Assumptions!$B$7)*1.25</f>
        <v>6629893186.29252</v>
      </c>
      <c r="F6" s="34" t="n">
        <f aca="false">Revenue!H39*(30/Assumptions!$B$7)*1.5</f>
        <v>7955871823.55103</v>
      </c>
      <c r="G6" s="34" t="n">
        <f aca="false">Revenue!H39*(30/Assumptions!$B$7)*2</f>
        <v>10607829098.068</v>
      </c>
    </row>
    <row r="7" customFormat="false" ht="15" hidden="false" customHeight="true" outlineLevel="0" collapsed="false">
      <c r="A7" s="83" t="n">
        <v>40</v>
      </c>
      <c r="B7" s="34" t="n">
        <f aca="false">Revenue!H39*(40/Assumptions!$B$7)*0.5</f>
        <v>3535943032.68935</v>
      </c>
      <c r="C7" s="34" t="n">
        <f aca="false">Revenue!H39*(40/Assumptions!$B$7)*0.75</f>
        <v>5303914549.03402</v>
      </c>
      <c r="D7" s="34" t="n">
        <f aca="false">Revenue!H39*(40/Assumptions!$B$7)*1</f>
        <v>7071886065.37869</v>
      </c>
      <c r="E7" s="34" t="n">
        <f aca="false">Revenue!H39*(40/Assumptions!$B$7)*1.25</f>
        <v>8839857581.72337</v>
      </c>
      <c r="F7" s="34" t="n">
        <f aca="false">Revenue!H39*(40/Assumptions!$B$7)*1.5</f>
        <v>10607829098.068</v>
      </c>
      <c r="G7" s="34" t="n">
        <f aca="false">Revenue!H39*(40/Assumptions!$B$7)*2</f>
        <v>14143772130.7574</v>
      </c>
    </row>
    <row r="8" customFormat="false" ht="15" hidden="false" customHeight="true" outlineLevel="0" collapsed="false">
      <c r="A8" s="83" t="n">
        <v>50</v>
      </c>
      <c r="B8" s="34" t="n">
        <f aca="false">Revenue!H39*(50/Assumptions!$B$7)*0.5</f>
        <v>4419928790.86168</v>
      </c>
      <c r="C8" s="34" t="n">
        <f aca="false">Revenue!H39*(50/Assumptions!$B$7)*0.75</f>
        <v>6629893186.29252</v>
      </c>
      <c r="D8" s="36" t="n">
        <f aca="false">Revenue!H39*(50/Assumptions!$B$7)*1</f>
        <v>8839857581.72337</v>
      </c>
      <c r="E8" s="34" t="n">
        <f aca="false">Revenue!H39*(50/Assumptions!$B$7)*1.25</f>
        <v>11049821977.1542</v>
      </c>
      <c r="F8" s="34" t="n">
        <f aca="false">Revenue!H39*(50/Assumptions!$B$7)*1.5</f>
        <v>13259786372.585</v>
      </c>
      <c r="G8" s="34" t="n">
        <f aca="false">Revenue!H39*(50/Assumptions!$B$7)*2</f>
        <v>17679715163.4467</v>
      </c>
    </row>
    <row r="9" customFormat="false" ht="15" hidden="false" customHeight="true" outlineLevel="0" collapsed="false">
      <c r="A9" s="83" t="n">
        <v>60</v>
      </c>
      <c r="B9" s="34" t="n">
        <f aca="false">Revenue!H39*(60/Assumptions!$B$7)*0.5</f>
        <v>5303914549.03402</v>
      </c>
      <c r="C9" s="34" t="n">
        <f aca="false">Revenue!H39*(60/Assumptions!$B$7)*0.75</f>
        <v>7955871823.55103</v>
      </c>
      <c r="D9" s="34" t="n">
        <f aca="false">Revenue!H39*(60/Assumptions!$B$7)*1</f>
        <v>10607829098.068</v>
      </c>
      <c r="E9" s="34" t="n">
        <f aca="false">Revenue!H39*(60/Assumptions!$B$7)*1.25</f>
        <v>13259786372.585</v>
      </c>
      <c r="F9" s="34" t="n">
        <f aca="false">Revenue!H39*(60/Assumptions!$B$7)*1.5</f>
        <v>15911743647.1021</v>
      </c>
      <c r="G9" s="34" t="n">
        <f aca="false">Revenue!H39*(60/Assumptions!$B$7)*2</f>
        <v>21215658196.1361</v>
      </c>
    </row>
    <row r="10" customFormat="false" ht="15" hidden="false" customHeight="true" outlineLevel="0" collapsed="false">
      <c r="A10" s="83" t="n">
        <v>80</v>
      </c>
      <c r="B10" s="34" t="n">
        <f aca="false">Revenue!H39*(80/Assumptions!$B$7)*0.5</f>
        <v>7071886065.37869</v>
      </c>
      <c r="C10" s="34" t="n">
        <f aca="false">Revenue!H39*(80/Assumptions!$B$7)*0.75</f>
        <v>10607829098.068</v>
      </c>
      <c r="D10" s="34" t="n">
        <f aca="false">Revenue!H39*(80/Assumptions!$B$7)*1</f>
        <v>14143772130.7574</v>
      </c>
      <c r="E10" s="34" t="n">
        <f aca="false">Revenue!H39*(80/Assumptions!$B$7)*1.25</f>
        <v>17679715163.4467</v>
      </c>
      <c r="F10" s="34" t="n">
        <f aca="false">Revenue!H39*(80/Assumptions!$B$7)*1.5</f>
        <v>21215658196.1361</v>
      </c>
      <c r="G10" s="34" t="n">
        <f aca="false">Revenue!H39*(80/Assumptions!$B$7)*2</f>
        <v>28287544261.5148</v>
      </c>
    </row>
    <row r="11" customFormat="false" ht="15" hidden="false" customHeight="true" outlineLevel="0" collapsed="false">
      <c r="A11" s="83" t="n">
        <v>100</v>
      </c>
      <c r="B11" s="34" t="n">
        <f aca="false">Revenue!H39*(100/Assumptions!$B$7)*0.5</f>
        <v>8839857581.72337</v>
      </c>
      <c r="C11" s="34" t="n">
        <f aca="false">Revenue!H39*(100/Assumptions!$B$7)*0.75</f>
        <v>13259786372.585</v>
      </c>
      <c r="D11" s="34" t="n">
        <f aca="false">Revenue!H39*(100/Assumptions!$B$7)*1</f>
        <v>17679715163.4467</v>
      </c>
      <c r="E11" s="34" t="n">
        <f aca="false">Revenue!H39*(100/Assumptions!$B$7)*1.25</f>
        <v>22099643954.3084</v>
      </c>
      <c r="F11" s="34" t="n">
        <f aca="false">Revenue!H39*(100/Assumptions!$B$7)*1.5</f>
        <v>26519572745.1701</v>
      </c>
      <c r="G11" s="34" t="n">
        <f aca="false">Revenue!H39*(100/Assumptions!$B$7)*2</f>
        <v>35359430326.8935</v>
      </c>
    </row>
    <row r="14" customFormat="false" ht="14.25" hidden="false" customHeight="true" outlineLevel="0" collapsed="false">
      <c r="A14" s="84" t="s">
        <v>363</v>
      </c>
      <c r="B14" s="84"/>
      <c r="C14" s="84"/>
      <c r="D14" s="84"/>
      <c r="E14" s="84"/>
      <c r="F14" s="84"/>
      <c r="G14" s="84"/>
      <c r="H14" s="84"/>
    </row>
    <row r="16" customFormat="false" ht="15" hidden="false" customHeight="true" outlineLevel="0" collapsed="false">
      <c r="A16" s="24" t="s">
        <v>364</v>
      </c>
    </row>
    <row r="17" customFormat="false" ht="15" hidden="false" customHeight="true" outlineLevel="0" collapsed="false">
      <c r="A17" s="27" t="s">
        <v>365</v>
      </c>
      <c r="B17" s="13" t="s">
        <v>366</v>
      </c>
      <c r="C17" s="85" t="s">
        <v>367</v>
      </c>
    </row>
    <row r="18" customFormat="false" ht="15" hidden="false" customHeight="true" outlineLevel="0" collapsed="false">
      <c r="A18" s="27" t="s">
        <v>368</v>
      </c>
      <c r="B18" s="13" t="s">
        <v>369</v>
      </c>
      <c r="C18" s="85" t="s">
        <v>370</v>
      </c>
    </row>
    <row r="19" customFormat="false" ht="15" hidden="false" customHeight="true" outlineLevel="0" collapsed="false">
      <c r="A19" s="27" t="s">
        <v>371</v>
      </c>
      <c r="B19" s="13" t="s">
        <v>372</v>
      </c>
      <c r="C19" s="41" t="s">
        <v>373</v>
      </c>
    </row>
    <row r="20" customFormat="false" ht="15" hidden="false" customHeight="true" outlineLevel="0" collapsed="false">
      <c r="A20" s="27" t="s">
        <v>374</v>
      </c>
      <c r="B20" s="13" t="s">
        <v>375</v>
      </c>
      <c r="C20" s="41" t="s">
        <v>376</v>
      </c>
    </row>
  </sheetData>
  <mergeCells count="2">
    <mergeCell ref="A1:H1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50"/>
  </cols>
  <sheetData>
    <row r="1" customFormat="false" ht="20.25" hidden="false" customHeight="true" outlineLevel="0" collapsed="false">
      <c r="A1" s="11" t="s">
        <v>57</v>
      </c>
      <c r="B1" s="11"/>
      <c r="C1" s="11"/>
      <c r="D1" s="11"/>
    </row>
    <row r="3" customFormat="false" ht="16.5" hidden="false" customHeight="true" outlineLevel="0" collapsed="false">
      <c r="A3" s="12" t="s">
        <v>58</v>
      </c>
      <c r="B3" s="12"/>
      <c r="C3" s="12"/>
      <c r="D3" s="12"/>
    </row>
    <row r="4" customFormat="false" ht="15" hidden="false" customHeight="true" outlineLevel="0" collapsed="false">
      <c r="A4" s="13" t="s">
        <v>59</v>
      </c>
      <c r="B4" s="14" t="n">
        <v>1400</v>
      </c>
      <c r="C4" s="15" t="s">
        <v>60</v>
      </c>
      <c r="D4" s="15" t="s">
        <v>61</v>
      </c>
    </row>
    <row r="6" customFormat="false" ht="15" hidden="false" customHeight="true" outlineLevel="0" collapsed="false">
      <c r="A6" s="12" t="s">
        <v>62</v>
      </c>
      <c r="B6" s="12"/>
      <c r="C6" s="12"/>
      <c r="D6" s="12"/>
    </row>
    <row r="7" customFormat="false" ht="15" hidden="false" customHeight="true" outlineLevel="0" collapsed="false">
      <c r="A7" s="13" t="s">
        <v>63</v>
      </c>
      <c r="B7" s="16" t="n">
        <v>50</v>
      </c>
      <c r="C7" s="15" t="s">
        <v>64</v>
      </c>
      <c r="D7" s="15" t="s">
        <v>65</v>
      </c>
    </row>
    <row r="8" customFormat="false" ht="15" hidden="false" customHeight="true" outlineLevel="0" collapsed="false">
      <c r="A8" s="13" t="s">
        <v>66</v>
      </c>
      <c r="B8" s="17" t="n">
        <f aca="false">B7*B4</f>
        <v>70000</v>
      </c>
      <c r="C8" s="15" t="s">
        <v>67</v>
      </c>
    </row>
    <row r="9" customFormat="false" ht="15" hidden="false" customHeight="true" outlineLevel="0" collapsed="false">
      <c r="A9" s="13" t="s">
        <v>68</v>
      </c>
      <c r="B9" s="18" t="n">
        <v>0.3</v>
      </c>
      <c r="C9" s="15" t="s">
        <v>69</v>
      </c>
      <c r="D9" s="15" t="s">
        <v>70</v>
      </c>
    </row>
    <row r="10" customFormat="false" ht="15" hidden="false" customHeight="true" outlineLevel="0" collapsed="false">
      <c r="A10" s="13" t="s">
        <v>71</v>
      </c>
      <c r="B10" s="19" t="n">
        <f aca="false">1-B9</f>
        <v>0.7</v>
      </c>
      <c r="C10" s="15" t="s">
        <v>69</v>
      </c>
    </row>
    <row r="11" customFormat="false" ht="15" hidden="false" customHeight="true" outlineLevel="0" collapsed="false">
      <c r="A11" s="13" t="s">
        <v>72</v>
      </c>
      <c r="B11" s="18" t="n">
        <v>0.04</v>
      </c>
      <c r="C11" s="15" t="s">
        <v>69</v>
      </c>
      <c r="D11" s="15" t="s">
        <v>73</v>
      </c>
    </row>
    <row r="12" customFormat="false" ht="15" hidden="false" customHeight="true" outlineLevel="0" collapsed="false">
      <c r="A12" s="13" t="s">
        <v>74</v>
      </c>
      <c r="B12" s="14" t="n">
        <v>7000</v>
      </c>
      <c r="C12" s="15" t="s">
        <v>67</v>
      </c>
      <c r="D12" s="15" t="s">
        <v>75</v>
      </c>
    </row>
    <row r="14" customFormat="false" ht="16.5" hidden="false" customHeight="true" outlineLevel="0" collapsed="false">
      <c r="A14" s="12" t="s">
        <v>76</v>
      </c>
      <c r="B14" s="12"/>
      <c r="C14" s="12"/>
      <c r="D14" s="12"/>
    </row>
    <row r="15" customFormat="false" ht="15" hidden="false" customHeight="true" outlineLevel="0" collapsed="false">
      <c r="A15" s="13" t="s">
        <v>77</v>
      </c>
      <c r="B15" s="14" t="n">
        <v>150</v>
      </c>
      <c r="C15" s="15" t="s">
        <v>78</v>
      </c>
      <c r="D15" s="15" t="s">
        <v>79</v>
      </c>
    </row>
    <row r="16" customFormat="false" ht="15" hidden="false" customHeight="true" outlineLevel="0" collapsed="false">
      <c r="A16" s="13" t="s">
        <v>80</v>
      </c>
      <c r="B16" s="18" t="n">
        <v>0.25</v>
      </c>
      <c r="C16" s="15" t="s">
        <v>69</v>
      </c>
      <c r="D16" s="15" t="s">
        <v>81</v>
      </c>
    </row>
    <row r="17" customFormat="false" ht="15" hidden="false" customHeight="true" outlineLevel="0" collapsed="false">
      <c r="A17" s="13" t="s">
        <v>82</v>
      </c>
      <c r="B17" s="18" t="n">
        <v>0.18</v>
      </c>
      <c r="C17" s="15" t="s">
        <v>69</v>
      </c>
      <c r="D17" s="15" t="s">
        <v>83</v>
      </c>
    </row>
    <row r="18" customFormat="false" ht="15" hidden="false" customHeight="true" outlineLevel="0" collapsed="false">
      <c r="A18" s="13" t="s">
        <v>84</v>
      </c>
      <c r="B18" s="18" t="n">
        <v>0.12</v>
      </c>
      <c r="C18" s="15" t="s">
        <v>69</v>
      </c>
      <c r="D18" s="15" t="s">
        <v>85</v>
      </c>
    </row>
    <row r="19" customFormat="false" ht="15" hidden="false" customHeight="true" outlineLevel="0" collapsed="false">
      <c r="A19" s="13" t="s">
        <v>86</v>
      </c>
      <c r="B19" s="18" t="n">
        <v>0.06</v>
      </c>
      <c r="C19" s="15" t="s">
        <v>69</v>
      </c>
      <c r="D19" s="15" t="s">
        <v>87</v>
      </c>
    </row>
    <row r="21" customFormat="false" ht="15" hidden="false" customHeight="true" outlineLevel="0" collapsed="false">
      <c r="A21" s="12" t="s">
        <v>88</v>
      </c>
      <c r="B21" s="12"/>
      <c r="C21" s="12"/>
      <c r="D21" s="12"/>
    </row>
    <row r="22" customFormat="false" ht="15" hidden="false" customHeight="true" outlineLevel="0" collapsed="false">
      <c r="A22" s="13" t="s">
        <v>89</v>
      </c>
      <c r="B22" s="14" t="n">
        <v>5000000</v>
      </c>
      <c r="C22" s="15" t="s">
        <v>90</v>
      </c>
      <c r="D22" s="15" t="s">
        <v>91</v>
      </c>
    </row>
    <row r="23" customFormat="false" ht="15" hidden="false" customHeight="true" outlineLevel="0" collapsed="false">
      <c r="A23" s="13" t="s">
        <v>92</v>
      </c>
      <c r="B23" s="14" t="n">
        <v>5000000</v>
      </c>
      <c r="C23" s="15" t="s">
        <v>90</v>
      </c>
      <c r="D23" s="15" t="s">
        <v>93</v>
      </c>
    </row>
    <row r="24" customFormat="false" ht="15" hidden="false" customHeight="true" outlineLevel="0" collapsed="false">
      <c r="A24" s="13" t="s">
        <v>94</v>
      </c>
      <c r="B24" s="18" t="n">
        <v>0.12</v>
      </c>
      <c r="C24" s="15" t="s">
        <v>69</v>
      </c>
      <c r="D24" s="15" t="s">
        <v>95</v>
      </c>
    </row>
    <row r="25" customFormat="false" ht="15" hidden="false" customHeight="true" outlineLevel="0" collapsed="false">
      <c r="A25" s="13" t="s">
        <v>96</v>
      </c>
      <c r="B25" s="18" t="n">
        <v>0.08</v>
      </c>
      <c r="C25" s="15" t="s">
        <v>69</v>
      </c>
      <c r="D25" s="15" t="s">
        <v>97</v>
      </c>
    </row>
    <row r="26" customFormat="false" ht="15" hidden="false" customHeight="true" outlineLevel="0" collapsed="false">
      <c r="A26" s="13" t="s">
        <v>98</v>
      </c>
      <c r="B26" s="18" t="n">
        <v>0.06</v>
      </c>
      <c r="C26" s="15" t="s">
        <v>69</v>
      </c>
      <c r="D26" s="15" t="s">
        <v>99</v>
      </c>
    </row>
    <row r="28" customFormat="false" ht="15" hidden="false" customHeight="true" outlineLevel="0" collapsed="false">
      <c r="A28" s="12" t="s">
        <v>100</v>
      </c>
      <c r="B28" s="12"/>
      <c r="C28" s="12"/>
      <c r="D28" s="12"/>
    </row>
    <row r="29" customFormat="false" ht="15" hidden="false" customHeight="true" outlineLevel="0" collapsed="false">
      <c r="A29" s="13" t="s">
        <v>101</v>
      </c>
      <c r="B29" s="14" t="n">
        <v>6</v>
      </c>
      <c r="C29" s="15" t="s">
        <v>102</v>
      </c>
      <c r="D29" s="15" t="s">
        <v>103</v>
      </c>
    </row>
    <row r="30" customFormat="false" ht="15" hidden="false" customHeight="true" outlineLevel="0" collapsed="false">
      <c r="A30" s="13" t="s">
        <v>104</v>
      </c>
      <c r="B30" s="14" t="n">
        <v>8</v>
      </c>
      <c r="C30" s="15" t="s">
        <v>102</v>
      </c>
      <c r="D30" s="15" t="s">
        <v>105</v>
      </c>
    </row>
    <row r="31" customFormat="false" ht="15" hidden="false" customHeight="true" outlineLevel="0" collapsed="false">
      <c r="A31" s="13" t="s">
        <v>106</v>
      </c>
      <c r="B31" s="14" t="n">
        <v>10</v>
      </c>
      <c r="C31" s="15" t="s">
        <v>102</v>
      </c>
      <c r="D31" s="15" t="s">
        <v>107</v>
      </c>
    </row>
    <row r="32" customFormat="false" ht="15" hidden="false" customHeight="true" outlineLevel="0" collapsed="false">
      <c r="A32" s="13" t="s">
        <v>108</v>
      </c>
      <c r="B32" s="14" t="n">
        <v>14</v>
      </c>
      <c r="C32" s="15" t="s">
        <v>102</v>
      </c>
      <c r="D32" s="15" t="s">
        <v>109</v>
      </c>
    </row>
    <row r="34" customFormat="false" ht="15" hidden="false" customHeight="true" outlineLevel="0" collapsed="false">
      <c r="A34" s="12" t="s">
        <v>110</v>
      </c>
      <c r="B34" s="12"/>
      <c r="C34" s="12"/>
      <c r="D34" s="12"/>
    </row>
    <row r="35" customFormat="false" ht="15" hidden="false" customHeight="true" outlineLevel="0" collapsed="false">
      <c r="A35" s="20" t="s">
        <v>111</v>
      </c>
      <c r="B35" s="14" t="n">
        <v>100000000</v>
      </c>
      <c r="C35" s="15" t="s">
        <v>67</v>
      </c>
      <c r="D35" s="15" t="s">
        <v>112</v>
      </c>
    </row>
    <row r="36" customFormat="false" ht="15" hidden="false" customHeight="true" outlineLevel="0" collapsed="false">
      <c r="A36" s="13" t="s">
        <v>113</v>
      </c>
      <c r="B36" s="14" t="n">
        <v>8000000000</v>
      </c>
      <c r="C36" s="15" t="s">
        <v>67</v>
      </c>
      <c r="D36" s="15" t="s">
        <v>114</v>
      </c>
    </row>
    <row r="37" customFormat="false" ht="15" hidden="false" customHeight="true" outlineLevel="0" collapsed="false">
      <c r="A37" s="13" t="s">
        <v>115</v>
      </c>
      <c r="B37" s="14" t="n">
        <v>3</v>
      </c>
      <c r="C37" s="15" t="s">
        <v>116</v>
      </c>
      <c r="D37" s="15" t="s">
        <v>117</v>
      </c>
    </row>
    <row r="39" customFormat="false" ht="15" hidden="false" customHeight="true" outlineLevel="0" collapsed="false">
      <c r="A39" s="12" t="s">
        <v>118</v>
      </c>
      <c r="B39" s="12"/>
      <c r="C39" s="12"/>
      <c r="D39" s="12"/>
    </row>
    <row r="40" customFormat="false" ht="15" hidden="false" customHeight="true" outlineLevel="0" collapsed="false">
      <c r="A40" s="13" t="s">
        <v>119</v>
      </c>
      <c r="B40" s="14" t="n">
        <v>30000000</v>
      </c>
      <c r="C40" s="15" t="s">
        <v>67</v>
      </c>
      <c r="D40" s="15" t="s">
        <v>120</v>
      </c>
    </row>
    <row r="41" customFormat="false" ht="15" hidden="false" customHeight="true" outlineLevel="0" collapsed="false">
      <c r="A41" s="20" t="s">
        <v>121</v>
      </c>
      <c r="B41" s="14" t="n">
        <v>7200000</v>
      </c>
      <c r="C41" s="15" t="s">
        <v>122</v>
      </c>
      <c r="D41" s="15" t="s">
        <v>123</v>
      </c>
    </row>
    <row r="42" customFormat="false" ht="15" hidden="false" customHeight="true" outlineLevel="0" collapsed="false">
      <c r="A42" s="13" t="s">
        <v>124</v>
      </c>
      <c r="B42" s="14" t="n">
        <v>30000000</v>
      </c>
      <c r="C42" s="15" t="s">
        <v>67</v>
      </c>
      <c r="D42" s="15" t="s">
        <v>125</v>
      </c>
    </row>
    <row r="43" customFormat="false" ht="15" hidden="false" customHeight="true" outlineLevel="0" collapsed="false">
      <c r="A43" s="13" t="s">
        <v>126</v>
      </c>
      <c r="B43" s="14" t="n">
        <v>800000000</v>
      </c>
      <c r="C43" s="15" t="s">
        <v>67</v>
      </c>
      <c r="D43" s="15" t="s">
        <v>127</v>
      </c>
    </row>
    <row r="44" customFormat="false" ht="15" hidden="false" customHeight="true" outlineLevel="0" collapsed="false">
      <c r="A44" s="20" t="s">
        <v>128</v>
      </c>
      <c r="B44" s="14" t="n">
        <v>70000000</v>
      </c>
      <c r="C44" s="15" t="s">
        <v>67</v>
      </c>
      <c r="D44" s="15" t="s">
        <v>129</v>
      </c>
    </row>
    <row r="45" customFormat="false" ht="15" hidden="false" customHeight="true" outlineLevel="0" collapsed="false">
      <c r="A45" s="20" t="s">
        <v>130</v>
      </c>
      <c r="B45" s="14" t="n">
        <v>100000000</v>
      </c>
      <c r="C45" s="15" t="s">
        <v>67</v>
      </c>
      <c r="D45" s="15" t="s">
        <v>131</v>
      </c>
    </row>
    <row r="46" customFormat="false" ht="15" hidden="false" customHeight="true" outlineLevel="0" collapsed="false">
      <c r="A46" s="20" t="s">
        <v>132</v>
      </c>
      <c r="B46" s="14" t="n">
        <v>50000000</v>
      </c>
      <c r="C46" s="15" t="s">
        <v>67</v>
      </c>
      <c r="D46" s="15" t="s">
        <v>133</v>
      </c>
    </row>
    <row r="47" customFormat="false" ht="15" hidden="false" customHeight="false" outlineLevel="0" collapsed="false">
      <c r="A47" s="21" t="s">
        <v>134</v>
      </c>
      <c r="B47" s="22" t="n">
        <v>1</v>
      </c>
      <c r="C47" s="23" t="s">
        <v>135</v>
      </c>
      <c r="D47" s="23" t="s">
        <v>136</v>
      </c>
    </row>
  </sheetData>
  <mergeCells count="8">
    <mergeCell ref="A1:D1"/>
    <mergeCell ref="A3:D3"/>
    <mergeCell ref="A6:D6"/>
    <mergeCell ref="A14:D14"/>
    <mergeCell ref="A21:D21"/>
    <mergeCell ref="A28:D28"/>
    <mergeCell ref="A34:D34"/>
    <mergeCell ref="A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5" min="2" style="1" width="16"/>
  </cols>
  <sheetData>
    <row r="1" customFormat="false" ht="20.25" hidden="false" customHeight="true" outlineLevel="0" collapsed="false">
      <c r="A1" s="11" t="s">
        <v>137</v>
      </c>
      <c r="B1" s="11"/>
      <c r="C1" s="11"/>
      <c r="D1" s="11"/>
      <c r="E1" s="11"/>
    </row>
    <row r="3" customFormat="false" ht="16.5" hidden="false" customHeight="true" outlineLevel="0" collapsed="false">
      <c r="A3" s="24" t="s">
        <v>138</v>
      </c>
    </row>
    <row r="5" customFormat="false" ht="15" hidden="false" customHeight="true" outlineLevel="0" collapsed="false">
      <c r="A5" s="25" t="s">
        <v>139</v>
      </c>
      <c r="B5" s="25" t="s">
        <v>140</v>
      </c>
      <c r="C5" s="25" t="s">
        <v>141</v>
      </c>
      <c r="D5" s="25" t="s">
        <v>142</v>
      </c>
      <c r="E5" s="25" t="s">
        <v>143</v>
      </c>
    </row>
    <row r="6" customFormat="false" ht="15" hidden="false" customHeight="true" outlineLevel="0" collapsed="false">
      <c r="A6" s="13" t="s">
        <v>144</v>
      </c>
      <c r="B6" s="17" t="n">
        <f aca="false">Assumptions!$B$8</f>
        <v>70000</v>
      </c>
      <c r="C6" s="17" t="n">
        <f aca="false">Assumptions!$B$8</f>
        <v>70000</v>
      </c>
      <c r="D6" s="26" t="n">
        <f aca="false">B6/Assumptions!$B$4</f>
        <v>50</v>
      </c>
      <c r="E6" s="26" t="n">
        <f aca="false">C6/Assumptions!$B$4</f>
        <v>50</v>
      </c>
    </row>
    <row r="7" customFormat="false" ht="15" hidden="false" customHeight="true" outlineLevel="0" collapsed="false">
      <c r="A7" s="13" t="s">
        <v>145</v>
      </c>
      <c r="B7" s="17" t="n">
        <f aca="false">B6</f>
        <v>70000</v>
      </c>
      <c r="C7" s="17" t="n">
        <f aca="false">C6</f>
        <v>70000</v>
      </c>
      <c r="D7" s="26" t="n">
        <f aca="false">B7/Assumptions!$B$4</f>
        <v>50</v>
      </c>
      <c r="E7" s="26" t="n">
        <f aca="false">C7/Assumptions!$B$4</f>
        <v>50</v>
      </c>
    </row>
    <row r="8" customFormat="false" ht="15" hidden="false" customHeight="true" outlineLevel="0" collapsed="false">
      <c r="A8" s="13" t="s">
        <v>146</v>
      </c>
      <c r="B8" s="17" t="n">
        <f aca="false">B7*Assumptions!$B$10</f>
        <v>49000</v>
      </c>
      <c r="C8" s="17" t="n">
        <f aca="false">C7*Assumptions!$B$10</f>
        <v>49000</v>
      </c>
      <c r="D8" s="26" t="n">
        <f aca="false">B8/Assumptions!$B$4</f>
        <v>35</v>
      </c>
      <c r="E8" s="26" t="n">
        <f aca="false">C8/Assumptions!$B$4</f>
        <v>35</v>
      </c>
    </row>
    <row r="9" customFormat="false" ht="15" hidden="false" customHeight="true" outlineLevel="0" collapsed="false">
      <c r="A9" s="27" t="s">
        <v>147</v>
      </c>
      <c r="B9" s="17" t="n">
        <f aca="false">B7-B8</f>
        <v>21000</v>
      </c>
      <c r="C9" s="17" t="n">
        <f aca="false">C7-C8</f>
        <v>21000</v>
      </c>
      <c r="D9" s="26" t="n">
        <f aca="false">B9/Assumptions!$B$4</f>
        <v>15</v>
      </c>
      <c r="E9" s="26" t="n">
        <f aca="false">C9/Assumptions!$B$4</f>
        <v>15</v>
      </c>
    </row>
    <row r="10" customFormat="false" ht="15" hidden="false" customHeight="true" outlineLevel="0" collapsed="false">
      <c r="A10" s="13" t="s">
        <v>148</v>
      </c>
      <c r="B10" s="17" t="n">
        <f aca="false">B7*0.025</f>
        <v>1750</v>
      </c>
      <c r="C10" s="17" t="n">
        <f aca="false">C7*0.06</f>
        <v>4200</v>
      </c>
      <c r="D10" s="26" t="n">
        <f aca="false">B10/Assumptions!$B$4</f>
        <v>1.25</v>
      </c>
      <c r="E10" s="26" t="n">
        <f aca="false">C10/Assumptions!$B$4</f>
        <v>3</v>
      </c>
    </row>
    <row r="11" customFormat="false" ht="15" hidden="false" customHeight="true" outlineLevel="0" collapsed="false">
      <c r="A11" s="13" t="s">
        <v>149</v>
      </c>
      <c r="B11" s="17" t="n">
        <f aca="false">Assumptions!$B$12</f>
        <v>7000</v>
      </c>
      <c r="C11" s="17" t="n">
        <f aca="false">Assumptions!$B$12</f>
        <v>7000</v>
      </c>
      <c r="D11" s="26" t="n">
        <f aca="false">B11/Assumptions!$B$4</f>
        <v>5</v>
      </c>
      <c r="E11" s="26" t="n">
        <f aca="false">C11/Assumptions!$B$4</f>
        <v>5</v>
      </c>
    </row>
    <row r="12" customFormat="false" ht="15" hidden="false" customHeight="true" outlineLevel="0" collapsed="false">
      <c r="A12" s="13" t="s">
        <v>150</v>
      </c>
      <c r="B12" s="17" t="n">
        <f aca="false">B7*0.1</f>
        <v>7000</v>
      </c>
      <c r="C12" s="17" t="n">
        <f aca="false">C7*0.1</f>
        <v>7000</v>
      </c>
      <c r="D12" s="26" t="n">
        <f aca="false">B12/Assumptions!$B$4</f>
        <v>5</v>
      </c>
      <c r="E12" s="26" t="n">
        <f aca="false">C12/Assumptions!$B$4</f>
        <v>5</v>
      </c>
    </row>
    <row r="13" customFormat="false" ht="15" hidden="false" customHeight="true" outlineLevel="0" collapsed="false">
      <c r="A13" s="27" t="s">
        <v>151</v>
      </c>
      <c r="B13" s="17" t="n">
        <f aca="false">B9-B10-B11-B12</f>
        <v>5250</v>
      </c>
      <c r="C13" s="17" t="n">
        <f aca="false">C9-C10-C11-C12</f>
        <v>2800</v>
      </c>
      <c r="D13" s="26" t="n">
        <f aca="false">B13/Assumptions!$B$4</f>
        <v>3.75</v>
      </c>
      <c r="E13" s="26" t="n">
        <f aca="false">C13/Assumptions!$B$4</f>
        <v>2</v>
      </c>
    </row>
    <row r="14" customFormat="false" ht="15" hidden="false" customHeight="true" outlineLevel="0" collapsed="false">
      <c r="A14" s="27" t="s">
        <v>152</v>
      </c>
      <c r="B14" s="28" t="n">
        <f aca="false">B13/B7</f>
        <v>0.075</v>
      </c>
      <c r="C14" s="28" t="n">
        <f aca="false">C13/C7</f>
        <v>0.04</v>
      </c>
      <c r="D14" s="29" t="n">
        <f aca="false">B14</f>
        <v>0.075</v>
      </c>
      <c r="E14" s="29" t="n">
        <f aca="false">C14</f>
        <v>0.04</v>
      </c>
    </row>
    <row r="17" customFormat="false" ht="15" hidden="false" customHeight="true" outlineLevel="0" collapsed="false">
      <c r="A17" s="24" t="s">
        <v>153</v>
      </c>
    </row>
    <row r="18" customFormat="false" ht="14.25" hidden="false" customHeight="true" outlineLevel="0" collapsed="false">
      <c r="A18" s="30" t="s">
        <v>154</v>
      </c>
      <c r="B18" s="30"/>
      <c r="C18" s="30"/>
      <c r="D18" s="30"/>
      <c r="E18" s="30"/>
    </row>
    <row r="19" customFormat="false" ht="14.25" hidden="false" customHeight="true" outlineLevel="0" collapsed="false">
      <c r="A19" s="31" t="s">
        <v>155</v>
      </c>
      <c r="B19" s="31"/>
      <c r="C19" s="31"/>
      <c r="D19" s="31"/>
      <c r="E19" s="31"/>
    </row>
    <row r="20" customFormat="false" ht="14.25" hidden="false" customHeight="true" outlineLevel="0" collapsed="false">
      <c r="A20" s="31" t="s">
        <v>156</v>
      </c>
      <c r="B20" s="31"/>
      <c r="C20" s="31"/>
      <c r="D20" s="31"/>
      <c r="E20" s="31"/>
    </row>
    <row r="21" customFormat="false" ht="14.25" hidden="false" customHeight="true" outlineLevel="0" collapsed="false">
      <c r="A21" s="30" t="s">
        <v>157</v>
      </c>
      <c r="B21" s="30"/>
      <c r="C21" s="30"/>
      <c r="D21" s="30"/>
      <c r="E21" s="30"/>
    </row>
  </sheetData>
  <mergeCells count="5">
    <mergeCell ref="A1:E1"/>
    <mergeCell ref="A18:E18"/>
    <mergeCell ref="A19:E19"/>
    <mergeCell ref="A20:E20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6"/>
    <col collapsed="false" customWidth="true" hidden="false" outlineLevel="0" max="4" min="3" style="1" width="11"/>
    <col collapsed="false" customWidth="true" hidden="false" outlineLevel="0" max="5" min="5" style="1" width="16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18"/>
  </cols>
  <sheetData>
    <row r="1" customFormat="false" ht="20.25" hidden="false" customHeight="true" outlineLevel="0" collapsed="false">
      <c r="A1" s="11" t="s">
        <v>158</v>
      </c>
      <c r="B1" s="11"/>
      <c r="C1" s="11"/>
      <c r="D1" s="11"/>
      <c r="E1" s="11"/>
      <c r="F1" s="11"/>
      <c r="G1" s="11"/>
      <c r="H1" s="11"/>
    </row>
    <row r="3" customFormat="false" ht="16.5" hidden="false" customHeight="true" outlineLevel="0" collapsed="false">
      <c r="A3" s="25" t="s">
        <v>159</v>
      </c>
      <c r="B3" s="25" t="s">
        <v>160</v>
      </c>
      <c r="C3" s="25" t="s">
        <v>161</v>
      </c>
      <c r="D3" s="25" t="s">
        <v>162</v>
      </c>
      <c r="E3" s="25" t="s">
        <v>163</v>
      </c>
      <c r="F3" s="25" t="s">
        <v>164</v>
      </c>
      <c r="G3" s="25" t="s">
        <v>165</v>
      </c>
      <c r="H3" s="25" t="s">
        <v>166</v>
      </c>
    </row>
    <row r="4" customFormat="false" ht="15" hidden="false" customHeight="true" outlineLevel="0" collapsed="false">
      <c r="A4" s="32" t="n">
        <v>1</v>
      </c>
      <c r="B4" s="1" t="s">
        <v>167</v>
      </c>
      <c r="C4" s="33" t="n">
        <f aca="false">Assumptions!$B$15</f>
        <v>150</v>
      </c>
      <c r="D4" s="33" t="n">
        <f aca="false">Assumptions!$B$8</f>
        <v>70000</v>
      </c>
      <c r="E4" s="34" t="n">
        <f aca="false">C4*D4</f>
        <v>10500000</v>
      </c>
      <c r="F4" s="34" t="n">
        <f aca="false">E4</f>
        <v>10500000</v>
      </c>
      <c r="G4" s="35" t="n">
        <f aca="false">F4/Assumptions!$B$4</f>
        <v>7500</v>
      </c>
      <c r="H4" s="34" t="n">
        <f aca="false">F4</f>
        <v>10500000</v>
      </c>
    </row>
    <row r="5" customFormat="false" ht="15" hidden="false" customHeight="true" outlineLevel="0" collapsed="false">
      <c r="A5" s="32" t="n">
        <v>2</v>
      </c>
      <c r="B5" s="1" t="s">
        <v>168</v>
      </c>
      <c r="C5" s="34" t="n">
        <f aca="false">C4*(1+IF(A5&lt;=6,Assumptions!$B$16,IF(A5&lt;=12,Assumptions!$B$17,IF(A5&lt;=24,Assumptions!$B$18,Assumptions!$B$19))))</f>
        <v>187.5</v>
      </c>
      <c r="D5" s="33" t="n">
        <f aca="false">Assumptions!$B$8</f>
        <v>70000</v>
      </c>
      <c r="E5" s="34" t="n">
        <f aca="false">C5*D5</f>
        <v>13125000</v>
      </c>
      <c r="F5" s="34" t="n">
        <f aca="false">E5</f>
        <v>13125000</v>
      </c>
      <c r="G5" s="35" t="n">
        <f aca="false">F5/Assumptions!$B$4</f>
        <v>9375</v>
      </c>
      <c r="H5" s="34" t="n">
        <f aca="false">H4+F5</f>
        <v>23625000</v>
      </c>
    </row>
    <row r="6" customFormat="false" ht="15" hidden="false" customHeight="true" outlineLevel="0" collapsed="false">
      <c r="A6" s="32" t="n">
        <v>3</v>
      </c>
      <c r="B6" s="1" t="s">
        <v>169</v>
      </c>
      <c r="C6" s="34" t="n">
        <f aca="false">C5*(1+IF(A6&lt;=6,Assumptions!$B$16,IF(A6&lt;=12,Assumptions!$B$17,IF(A6&lt;=24,Assumptions!$B$18,Assumptions!$B$19))))</f>
        <v>234.375</v>
      </c>
      <c r="D6" s="33" t="n">
        <f aca="false">Assumptions!$B$8</f>
        <v>70000</v>
      </c>
      <c r="E6" s="34" t="n">
        <f aca="false">C6*D6</f>
        <v>16406250</v>
      </c>
      <c r="F6" s="34" t="n">
        <f aca="false">E6</f>
        <v>16406250</v>
      </c>
      <c r="G6" s="35" t="n">
        <f aca="false">F6/Assumptions!$B$4</f>
        <v>11718.75</v>
      </c>
      <c r="H6" s="34" t="n">
        <f aca="false">H5+F6</f>
        <v>40031250</v>
      </c>
    </row>
    <row r="7" customFormat="false" ht="15" hidden="false" customHeight="true" outlineLevel="0" collapsed="false">
      <c r="A7" s="32" t="n">
        <v>4</v>
      </c>
      <c r="B7" s="1" t="s">
        <v>170</v>
      </c>
      <c r="C7" s="34" t="n">
        <f aca="false">C6*(1+IF(A7&lt;=6,Assumptions!$B$16,IF(A7&lt;=12,Assumptions!$B$17,IF(A7&lt;=24,Assumptions!$B$18,Assumptions!$B$19))))</f>
        <v>292.96875</v>
      </c>
      <c r="D7" s="33" t="n">
        <f aca="false">Assumptions!$B$8</f>
        <v>70000</v>
      </c>
      <c r="E7" s="34" t="n">
        <f aca="false">C7*D7</f>
        <v>20507812.5</v>
      </c>
      <c r="F7" s="34" t="n">
        <f aca="false">E7</f>
        <v>20507812.5</v>
      </c>
      <c r="G7" s="35" t="n">
        <f aca="false">F7/Assumptions!$B$4</f>
        <v>14648.4375</v>
      </c>
      <c r="H7" s="34" t="n">
        <f aca="false">H6+F7</f>
        <v>60539062.5</v>
      </c>
    </row>
    <row r="8" customFormat="false" ht="15" hidden="false" customHeight="true" outlineLevel="0" collapsed="false">
      <c r="A8" s="32" t="n">
        <v>5</v>
      </c>
      <c r="B8" s="1" t="s">
        <v>171</v>
      </c>
      <c r="C8" s="34" t="n">
        <f aca="false">C7*(1+IF(A8&lt;=6,Assumptions!$B$16,IF(A8&lt;=12,Assumptions!$B$17,IF(A8&lt;=24,Assumptions!$B$18,Assumptions!$B$19))))</f>
        <v>366.2109375</v>
      </c>
      <c r="D8" s="33" t="n">
        <f aca="false">Assumptions!$B$8</f>
        <v>70000</v>
      </c>
      <c r="E8" s="34" t="n">
        <f aca="false">C8*D8</f>
        <v>25634765.625</v>
      </c>
      <c r="F8" s="34" t="n">
        <f aca="false">E8</f>
        <v>25634765.625</v>
      </c>
      <c r="G8" s="35" t="n">
        <f aca="false">F8/Assumptions!$B$4</f>
        <v>18310.546875</v>
      </c>
      <c r="H8" s="34" t="n">
        <f aca="false">H7+F8</f>
        <v>86173828.125</v>
      </c>
    </row>
    <row r="9" customFormat="false" ht="15" hidden="false" customHeight="true" outlineLevel="0" collapsed="false">
      <c r="A9" s="32" t="n">
        <v>6</v>
      </c>
      <c r="B9" s="1" t="s">
        <v>172</v>
      </c>
      <c r="C9" s="34" t="n">
        <f aca="false">C8*(1+IF(A9&lt;=6,Assumptions!$B$16,IF(A9&lt;=12,Assumptions!$B$17,IF(A9&lt;=24,Assumptions!$B$18,Assumptions!$B$19))))</f>
        <v>457.763671875</v>
      </c>
      <c r="D9" s="33" t="n">
        <f aca="false">Assumptions!$B$8</f>
        <v>70000</v>
      </c>
      <c r="E9" s="34" t="n">
        <f aca="false">C9*D9</f>
        <v>32043457.03125</v>
      </c>
      <c r="F9" s="34" t="n">
        <f aca="false">E9</f>
        <v>32043457.03125</v>
      </c>
      <c r="G9" s="35" t="n">
        <f aca="false">F9/Assumptions!$B$4</f>
        <v>22888.18359375</v>
      </c>
      <c r="H9" s="34" t="n">
        <f aca="false">H8+F9</f>
        <v>118217285.15625</v>
      </c>
    </row>
    <row r="10" customFormat="false" ht="15" hidden="false" customHeight="true" outlineLevel="0" collapsed="false">
      <c r="A10" s="32" t="n">
        <v>7</v>
      </c>
      <c r="B10" s="1" t="s">
        <v>173</v>
      </c>
      <c r="C10" s="34" t="n">
        <f aca="false">C9*(1+IF(A10&lt;=6,Assumptions!$B$16,IF(A10&lt;=12,Assumptions!$B$17,IF(A10&lt;=24,Assumptions!$B$18,Assumptions!$B$19))))</f>
        <v>540.1611328125</v>
      </c>
      <c r="D10" s="33" t="n">
        <f aca="false">Assumptions!$B$8</f>
        <v>70000</v>
      </c>
      <c r="E10" s="34" t="n">
        <f aca="false">C10*D10</f>
        <v>37811279.296875</v>
      </c>
      <c r="F10" s="34" t="n">
        <f aca="false">E10</f>
        <v>37811279.296875</v>
      </c>
      <c r="G10" s="35" t="n">
        <f aca="false">F10/Assumptions!$B$4</f>
        <v>27008.056640625</v>
      </c>
      <c r="H10" s="34" t="n">
        <f aca="false">H9+F10</f>
        <v>156028564.453125</v>
      </c>
    </row>
    <row r="11" customFormat="false" ht="15" hidden="false" customHeight="true" outlineLevel="0" collapsed="false">
      <c r="A11" s="32" t="n">
        <v>8</v>
      </c>
      <c r="B11" s="1" t="s">
        <v>174</v>
      </c>
      <c r="C11" s="34" t="n">
        <f aca="false">C10*(1+IF(A11&lt;=6,Assumptions!$B$16,IF(A11&lt;=12,Assumptions!$B$17,IF(A11&lt;=24,Assumptions!$B$18,Assumptions!$B$19))))</f>
        <v>637.39013671875</v>
      </c>
      <c r="D11" s="33" t="n">
        <f aca="false">Assumptions!$B$8</f>
        <v>70000</v>
      </c>
      <c r="E11" s="34" t="n">
        <f aca="false">C11*D11</f>
        <v>44617309.5703125</v>
      </c>
      <c r="F11" s="34" t="n">
        <f aca="false">E11</f>
        <v>44617309.5703125</v>
      </c>
      <c r="G11" s="35" t="n">
        <f aca="false">F11/Assumptions!$B$4</f>
        <v>31869.5068359375</v>
      </c>
      <c r="H11" s="34" t="n">
        <f aca="false">H10+F11</f>
        <v>200645874.023438</v>
      </c>
    </row>
    <row r="12" customFormat="false" ht="15" hidden="false" customHeight="true" outlineLevel="0" collapsed="false">
      <c r="A12" s="32" t="n">
        <v>9</v>
      </c>
      <c r="B12" s="1" t="s">
        <v>175</v>
      </c>
      <c r="C12" s="34" t="n">
        <f aca="false">C11*(1+IF(A12&lt;=6,Assumptions!$B$16,IF(A12&lt;=12,Assumptions!$B$17,IF(A12&lt;=24,Assumptions!$B$18,Assumptions!$B$19))))</f>
        <v>752.120361328125</v>
      </c>
      <c r="D12" s="33" t="n">
        <f aca="false">Assumptions!$B$8</f>
        <v>70000</v>
      </c>
      <c r="E12" s="34" t="n">
        <f aca="false">C12*D12</f>
        <v>52648425.2929688</v>
      </c>
      <c r="F12" s="34" t="n">
        <f aca="false">E12</f>
        <v>52648425.2929688</v>
      </c>
      <c r="G12" s="35" t="n">
        <f aca="false">F12/Assumptions!$B$4</f>
        <v>37606.0180664063</v>
      </c>
      <c r="H12" s="34" t="n">
        <f aca="false">H11+F12</f>
        <v>253294299.316406</v>
      </c>
    </row>
    <row r="13" customFormat="false" ht="15" hidden="false" customHeight="true" outlineLevel="0" collapsed="false">
      <c r="A13" s="32" t="n">
        <v>10</v>
      </c>
      <c r="B13" s="1" t="s">
        <v>176</v>
      </c>
      <c r="C13" s="34" t="n">
        <f aca="false">C12*(1+IF(A13&lt;=6,Assumptions!$B$16,IF(A13&lt;=12,Assumptions!$B$17,IF(A13&lt;=24,Assumptions!$B$18,Assumptions!$B$19))))</f>
        <v>887.502026367188</v>
      </c>
      <c r="D13" s="33" t="n">
        <f aca="false">Assumptions!$B$8</f>
        <v>70000</v>
      </c>
      <c r="E13" s="34" t="n">
        <f aca="false">C13*D13</f>
        <v>62125141.8457031</v>
      </c>
      <c r="F13" s="34" t="n">
        <f aca="false">E13</f>
        <v>62125141.8457031</v>
      </c>
      <c r="G13" s="35" t="n">
        <f aca="false">F13/Assumptions!$B$4</f>
        <v>44375.1013183594</v>
      </c>
      <c r="H13" s="34" t="n">
        <f aca="false">H12+F13</f>
        <v>315419441.162109</v>
      </c>
    </row>
    <row r="14" customFormat="false" ht="15" hidden="false" customHeight="true" outlineLevel="0" collapsed="false">
      <c r="A14" s="32" t="n">
        <v>11</v>
      </c>
      <c r="B14" s="1" t="s">
        <v>177</v>
      </c>
      <c r="C14" s="34" t="n">
        <f aca="false">C13*(1+IF(A14&lt;=6,Assumptions!$B$16,IF(A14&lt;=12,Assumptions!$B$17,IF(A14&lt;=24,Assumptions!$B$18,Assumptions!$B$19))))</f>
        <v>1047.25239111328</v>
      </c>
      <c r="D14" s="33" t="n">
        <f aca="false">Assumptions!$B$8</f>
        <v>70000</v>
      </c>
      <c r="E14" s="34" t="n">
        <f aca="false">C14*D14</f>
        <v>73307667.3779297</v>
      </c>
      <c r="F14" s="34" t="n">
        <f aca="false">E14</f>
        <v>73307667.3779297</v>
      </c>
      <c r="G14" s="35" t="n">
        <f aca="false">F14/Assumptions!$B$4</f>
        <v>52362.6195556641</v>
      </c>
      <c r="H14" s="34" t="n">
        <f aca="false">H13+F14</f>
        <v>388727108.540039</v>
      </c>
    </row>
    <row r="15" customFormat="false" ht="15" hidden="false" customHeight="true" outlineLevel="0" collapsed="false">
      <c r="A15" s="32" t="n">
        <v>12</v>
      </c>
      <c r="B15" s="1" t="s">
        <v>178</v>
      </c>
      <c r="C15" s="34" t="n">
        <f aca="false">C14*(1+IF(A15&lt;=6,Assumptions!$B$16,IF(A15&lt;=12,Assumptions!$B$17,IF(A15&lt;=24,Assumptions!$B$18,Assumptions!$B$19))))</f>
        <v>1235.75782151367</v>
      </c>
      <c r="D15" s="33" t="n">
        <f aca="false">Assumptions!$B$8</f>
        <v>70000</v>
      </c>
      <c r="E15" s="34" t="n">
        <f aca="false">C15*D15</f>
        <v>86503047.505957</v>
      </c>
      <c r="F15" s="34" t="n">
        <f aca="false">E15</f>
        <v>86503047.505957</v>
      </c>
      <c r="G15" s="35" t="n">
        <f aca="false">F15/Assumptions!$B$4</f>
        <v>61787.8910756836</v>
      </c>
      <c r="H15" s="34" t="n">
        <f aca="false">H14+F15</f>
        <v>475230156.045996</v>
      </c>
    </row>
    <row r="16" customFormat="false" ht="15" hidden="false" customHeight="true" outlineLevel="0" collapsed="false">
      <c r="A16" s="32" t="n">
        <v>13</v>
      </c>
      <c r="B16" s="1" t="s">
        <v>179</v>
      </c>
      <c r="C16" s="34" t="n">
        <f aca="false">C15*(1+IF(A16&lt;=6,Assumptions!$B$16,IF(A16&lt;=12,Assumptions!$B$17,IF(A16&lt;=24,Assumptions!$B$18,Assumptions!$B$19))))</f>
        <v>1384.04876009531</v>
      </c>
      <c r="D16" s="33" t="n">
        <f aca="false">Assumptions!$B$8</f>
        <v>70000</v>
      </c>
      <c r="E16" s="34" t="n">
        <f aca="false">C16*D16</f>
        <v>96883413.2066719</v>
      </c>
      <c r="F16" s="34" t="n">
        <f aca="false">E16</f>
        <v>96883413.2066719</v>
      </c>
      <c r="G16" s="35" t="n">
        <f aca="false">F16/Assumptions!$B$4</f>
        <v>69202.4380047657</v>
      </c>
      <c r="H16" s="34" t="n">
        <f aca="false">H15+F16</f>
        <v>572113569.252668</v>
      </c>
    </row>
    <row r="17" customFormat="false" ht="15" hidden="false" customHeight="true" outlineLevel="0" collapsed="false">
      <c r="A17" s="32" t="n">
        <v>14</v>
      </c>
      <c r="B17" s="1" t="s">
        <v>180</v>
      </c>
      <c r="C17" s="34" t="n">
        <f aca="false">C16*(1+IF(A17&lt;=6,Assumptions!$B$16,IF(A17&lt;=12,Assumptions!$B$17,IF(A17&lt;=24,Assumptions!$B$18,Assumptions!$B$19))))</f>
        <v>1550.13461130675</v>
      </c>
      <c r="D17" s="33" t="n">
        <f aca="false">Assumptions!$B$8</f>
        <v>70000</v>
      </c>
      <c r="E17" s="34" t="n">
        <f aca="false">C17*D17</f>
        <v>108509422.791473</v>
      </c>
      <c r="F17" s="34" t="n">
        <f aca="false">E17</f>
        <v>108509422.791473</v>
      </c>
      <c r="G17" s="35" t="n">
        <f aca="false">F17/Assumptions!$B$4</f>
        <v>77506.7305653375</v>
      </c>
      <c r="H17" s="34" t="n">
        <f aca="false">H16+F17</f>
        <v>680622992.044141</v>
      </c>
    </row>
    <row r="18" customFormat="false" ht="15" hidden="false" customHeight="true" outlineLevel="0" collapsed="false">
      <c r="A18" s="32" t="n">
        <v>15</v>
      </c>
      <c r="B18" s="1" t="s">
        <v>181</v>
      </c>
      <c r="C18" s="34" t="n">
        <f aca="false">C17*(1+IF(A18&lt;=6,Assumptions!$B$16,IF(A18&lt;=12,Assumptions!$B$17,IF(A18&lt;=24,Assumptions!$B$18,Assumptions!$B$19))))</f>
        <v>1736.15076466356</v>
      </c>
      <c r="D18" s="33" t="n">
        <f aca="false">Assumptions!$B$8</f>
        <v>70000</v>
      </c>
      <c r="E18" s="34" t="n">
        <f aca="false">C18*D18</f>
        <v>121530553.526449</v>
      </c>
      <c r="F18" s="34" t="n">
        <f aca="false">E18</f>
        <v>121530553.526449</v>
      </c>
      <c r="G18" s="35" t="n">
        <f aca="false">F18/Assumptions!$B$4</f>
        <v>86807.538233178</v>
      </c>
      <c r="H18" s="34" t="n">
        <f aca="false">H17+F18</f>
        <v>802153545.57059</v>
      </c>
    </row>
    <row r="19" customFormat="false" ht="15" hidden="false" customHeight="true" outlineLevel="0" collapsed="false">
      <c r="A19" s="32" t="n">
        <v>16</v>
      </c>
      <c r="B19" s="1" t="s">
        <v>182</v>
      </c>
      <c r="C19" s="34" t="n">
        <f aca="false">C18*(1+IF(A19&lt;=6,Assumptions!$B$16,IF(A19&lt;=12,Assumptions!$B$17,IF(A19&lt;=24,Assumptions!$B$18,Assumptions!$B$19))))</f>
        <v>1944.48885642319</v>
      </c>
      <c r="D19" s="33" t="n">
        <f aca="false">Assumptions!$B$8</f>
        <v>70000</v>
      </c>
      <c r="E19" s="34" t="n">
        <f aca="false">C19*D19</f>
        <v>136114219.949623</v>
      </c>
      <c r="F19" s="34" t="n">
        <f aca="false">E19</f>
        <v>136114219.949623</v>
      </c>
      <c r="G19" s="35" t="n">
        <f aca="false">F19/Assumptions!$B$4</f>
        <v>97224.4428211594</v>
      </c>
      <c r="H19" s="34" t="n">
        <f aca="false">H18+F19</f>
        <v>938267765.520213</v>
      </c>
    </row>
    <row r="20" customFormat="false" ht="15" hidden="false" customHeight="true" outlineLevel="0" collapsed="false">
      <c r="A20" s="32" t="n">
        <v>17</v>
      </c>
      <c r="B20" s="1" t="s">
        <v>183</v>
      </c>
      <c r="C20" s="34" t="n">
        <f aca="false">C19*(1+IF(A20&lt;=6,Assumptions!$B$16,IF(A20&lt;=12,Assumptions!$B$17,IF(A20&lt;=24,Assumptions!$B$18,Assumptions!$B$19))))</f>
        <v>2177.82751919397</v>
      </c>
      <c r="D20" s="33" t="n">
        <f aca="false">Assumptions!$B$8</f>
        <v>70000</v>
      </c>
      <c r="E20" s="34" t="n">
        <f aca="false">C20*D20</f>
        <v>152447926.343578</v>
      </c>
      <c r="F20" s="34" t="n">
        <f aca="false">E20</f>
        <v>152447926.343578</v>
      </c>
      <c r="G20" s="35" t="n">
        <f aca="false">F20/Assumptions!$B$4</f>
        <v>108891.375959699</v>
      </c>
      <c r="H20" s="34" t="n">
        <f aca="false">H19+F20</f>
        <v>1090715691.86379</v>
      </c>
    </row>
    <row r="21" customFormat="false" ht="15" hidden="false" customHeight="true" outlineLevel="0" collapsed="false">
      <c r="A21" s="32" t="n">
        <v>18</v>
      </c>
      <c r="B21" s="1" t="s">
        <v>184</v>
      </c>
      <c r="C21" s="34" t="n">
        <f aca="false">C20*(1+IF(A21&lt;=6,Assumptions!$B$16,IF(A21&lt;=12,Assumptions!$B$17,IF(A21&lt;=24,Assumptions!$B$18,Assumptions!$B$19))))</f>
        <v>2439.16682149725</v>
      </c>
      <c r="D21" s="33" t="n">
        <f aca="false">Assumptions!$B$8</f>
        <v>70000</v>
      </c>
      <c r="E21" s="34" t="n">
        <f aca="false">C21*D21</f>
        <v>170741677.504807</v>
      </c>
      <c r="F21" s="34" t="n">
        <f aca="false">E21</f>
        <v>170741677.504807</v>
      </c>
      <c r="G21" s="35" t="n">
        <f aca="false">F21/Assumptions!$B$4</f>
        <v>121958.341074862</v>
      </c>
      <c r="H21" s="34" t="n">
        <f aca="false">H20+F21</f>
        <v>1261457369.3686</v>
      </c>
    </row>
    <row r="22" customFormat="false" ht="15" hidden="false" customHeight="true" outlineLevel="0" collapsed="false">
      <c r="A22" s="32" t="n">
        <v>19</v>
      </c>
      <c r="B22" s="1" t="s">
        <v>185</v>
      </c>
      <c r="C22" s="34" t="n">
        <f aca="false">C21*(1+IF(A22&lt;=6,Assumptions!$B$16,IF(A22&lt;=12,Assumptions!$B$17,IF(A22&lt;=24,Assumptions!$B$18,Assumptions!$B$19))))</f>
        <v>2731.86684007692</v>
      </c>
      <c r="D22" s="33" t="n">
        <f aca="false">Assumptions!$B$8</f>
        <v>70000</v>
      </c>
      <c r="E22" s="34" t="n">
        <f aca="false">C22*D22</f>
        <v>191230678.805384</v>
      </c>
      <c r="F22" s="34" t="n">
        <f aca="false">E22</f>
        <v>191230678.805384</v>
      </c>
      <c r="G22" s="35" t="n">
        <f aca="false">F22/Assumptions!$B$4</f>
        <v>136593.342003846</v>
      </c>
      <c r="H22" s="34" t="n">
        <f aca="false">H21+F22</f>
        <v>1452688048.17398</v>
      </c>
    </row>
    <row r="23" customFormat="false" ht="15" hidden="false" customHeight="true" outlineLevel="0" collapsed="false">
      <c r="A23" s="32" t="n">
        <v>20</v>
      </c>
      <c r="B23" s="1" t="s">
        <v>186</v>
      </c>
      <c r="C23" s="34" t="n">
        <f aca="false">C22*(1+IF(A23&lt;=6,Assumptions!$B$16,IF(A23&lt;=12,Assumptions!$B$17,IF(A23&lt;=24,Assumptions!$B$18,Assumptions!$B$19))))</f>
        <v>3059.69086088615</v>
      </c>
      <c r="D23" s="33" t="n">
        <f aca="false">Assumptions!$B$8</f>
        <v>70000</v>
      </c>
      <c r="E23" s="34" t="n">
        <f aca="false">C23*D23</f>
        <v>214178360.26203</v>
      </c>
      <c r="F23" s="34" t="n">
        <f aca="false">E23</f>
        <v>214178360.26203</v>
      </c>
      <c r="G23" s="35" t="n">
        <f aca="false">F23/Assumptions!$B$4</f>
        <v>152984.543044307</v>
      </c>
      <c r="H23" s="34" t="n">
        <f aca="false">H22+F23</f>
        <v>1666866408.43601</v>
      </c>
    </row>
    <row r="24" customFormat="false" ht="15" hidden="false" customHeight="true" outlineLevel="0" collapsed="false">
      <c r="A24" s="32" t="n">
        <v>21</v>
      </c>
      <c r="B24" s="1" t="s">
        <v>187</v>
      </c>
      <c r="C24" s="34" t="n">
        <f aca="false">C23*(1+IF(A24&lt;=6,Assumptions!$B$16,IF(A24&lt;=12,Assumptions!$B$17,IF(A24&lt;=24,Assumptions!$B$18,Assumptions!$B$19))))</f>
        <v>3426.85376419249</v>
      </c>
      <c r="D24" s="33" t="n">
        <f aca="false">Assumptions!$B$8</f>
        <v>70000</v>
      </c>
      <c r="E24" s="34" t="n">
        <f aca="false">C24*D24</f>
        <v>239879763.493474</v>
      </c>
      <c r="F24" s="34" t="n">
        <f aca="false">E24</f>
        <v>239879763.493474</v>
      </c>
      <c r="G24" s="35" t="n">
        <f aca="false">F24/Assumptions!$B$4</f>
        <v>171342.688209624</v>
      </c>
      <c r="H24" s="34" t="n">
        <f aca="false">H23+F24</f>
        <v>1906746171.92949</v>
      </c>
    </row>
    <row r="25" customFormat="false" ht="15" hidden="false" customHeight="true" outlineLevel="0" collapsed="false">
      <c r="A25" s="32" t="n">
        <v>22</v>
      </c>
      <c r="B25" s="1" t="s">
        <v>188</v>
      </c>
      <c r="C25" s="34" t="n">
        <f aca="false">C24*(1+IF(A25&lt;=6,Assumptions!$B$16,IF(A25&lt;=12,Assumptions!$B$17,IF(A25&lt;=24,Assumptions!$B$18,Assumptions!$B$19))))</f>
        <v>3838.07621589558</v>
      </c>
      <c r="D25" s="33" t="n">
        <f aca="false">Assumptions!$B$8</f>
        <v>70000</v>
      </c>
      <c r="E25" s="34" t="n">
        <f aca="false">C25*D25</f>
        <v>268665335.112691</v>
      </c>
      <c r="F25" s="34" t="n">
        <f aca="false">E25</f>
        <v>268665335.112691</v>
      </c>
      <c r="G25" s="35" t="n">
        <f aca="false">F25/Assumptions!$B$4</f>
        <v>191903.810794779</v>
      </c>
      <c r="H25" s="34" t="n">
        <f aca="false">H24+F25</f>
        <v>2175411507.04218</v>
      </c>
    </row>
    <row r="26" customFormat="false" ht="15" hidden="false" customHeight="true" outlineLevel="0" collapsed="false">
      <c r="A26" s="32" t="n">
        <v>23</v>
      </c>
      <c r="B26" s="1" t="s">
        <v>189</v>
      </c>
      <c r="C26" s="34" t="n">
        <f aca="false">C25*(1+IF(A26&lt;=6,Assumptions!$B$16,IF(A26&lt;=12,Assumptions!$B$17,IF(A26&lt;=24,Assumptions!$B$18,Assumptions!$B$19))))</f>
        <v>4298.64536180306</v>
      </c>
      <c r="D26" s="33" t="n">
        <f aca="false">Assumptions!$B$8</f>
        <v>70000</v>
      </c>
      <c r="E26" s="34" t="n">
        <f aca="false">C26*D26</f>
        <v>300905175.326214</v>
      </c>
      <c r="F26" s="34" t="n">
        <f aca="false">E26</f>
        <v>300905175.326214</v>
      </c>
      <c r="G26" s="35" t="n">
        <f aca="false">F26/Assumptions!$B$4</f>
        <v>214932.268090153</v>
      </c>
      <c r="H26" s="34" t="n">
        <f aca="false">H25+F26</f>
        <v>2476316682.36839</v>
      </c>
    </row>
    <row r="27" customFormat="false" ht="15" hidden="false" customHeight="true" outlineLevel="0" collapsed="false">
      <c r="A27" s="32" t="n">
        <v>24</v>
      </c>
      <c r="B27" s="1" t="s">
        <v>190</v>
      </c>
      <c r="C27" s="34" t="n">
        <f aca="false">C26*(1+IF(A27&lt;=6,Assumptions!$B$16,IF(A27&lt;=12,Assumptions!$B$17,IF(A27&lt;=24,Assumptions!$B$18,Assumptions!$B$19))))</f>
        <v>4814.48280521942</v>
      </c>
      <c r="D27" s="33" t="n">
        <f aca="false">Assumptions!$B$8</f>
        <v>70000</v>
      </c>
      <c r="E27" s="34" t="n">
        <f aca="false">C27*D27</f>
        <v>337013796.36536</v>
      </c>
      <c r="F27" s="34" t="n">
        <f aca="false">E27</f>
        <v>337013796.36536</v>
      </c>
      <c r="G27" s="35" t="n">
        <f aca="false">F27/Assumptions!$B$4</f>
        <v>240724.140260971</v>
      </c>
      <c r="H27" s="34" t="n">
        <f aca="false">H26+F27</f>
        <v>2813330478.73375</v>
      </c>
    </row>
    <row r="28" customFormat="false" ht="15" hidden="false" customHeight="true" outlineLevel="0" collapsed="false">
      <c r="A28" s="32" t="n">
        <v>25</v>
      </c>
      <c r="B28" s="1" t="s">
        <v>191</v>
      </c>
      <c r="C28" s="34" t="n">
        <f aca="false">C27*(1+IF(A28&lt;=6,Assumptions!$B$16,IF(A28&lt;=12,Assumptions!$B$17,IF(A28&lt;=24,Assumptions!$B$18,Assumptions!$B$19))))</f>
        <v>5103.35177353259</v>
      </c>
      <c r="D28" s="33" t="n">
        <f aca="false">Assumptions!$B$8</f>
        <v>70000</v>
      </c>
      <c r="E28" s="34" t="n">
        <f aca="false">C28*D28</f>
        <v>357234624.147281</v>
      </c>
      <c r="F28" s="34" t="n">
        <f aca="false">E28</f>
        <v>357234624.147281</v>
      </c>
      <c r="G28" s="35" t="n">
        <f aca="false">F28/Assumptions!$B$4</f>
        <v>255167.588676629</v>
      </c>
      <c r="H28" s="34" t="n">
        <f aca="false">H27+F28</f>
        <v>3170565102.88103</v>
      </c>
    </row>
    <row r="29" customFormat="false" ht="15" hidden="false" customHeight="true" outlineLevel="0" collapsed="false">
      <c r="A29" s="32" t="n">
        <v>26</v>
      </c>
      <c r="B29" s="1" t="s">
        <v>192</v>
      </c>
      <c r="C29" s="34" t="n">
        <f aca="false">C28*(1+IF(A29&lt;=6,Assumptions!$B$16,IF(A29&lt;=12,Assumptions!$B$17,IF(A29&lt;=24,Assumptions!$B$18,Assumptions!$B$19))))</f>
        <v>5409.55287994454</v>
      </c>
      <c r="D29" s="33" t="n">
        <f aca="false">Assumptions!$B$8</f>
        <v>70000</v>
      </c>
      <c r="E29" s="34" t="n">
        <f aca="false">C29*D29</f>
        <v>378668701.596118</v>
      </c>
      <c r="F29" s="34" t="n">
        <f aca="false">E29</f>
        <v>378668701.596118</v>
      </c>
      <c r="G29" s="35" t="n">
        <f aca="false">F29/Assumptions!$B$4</f>
        <v>270477.643997227</v>
      </c>
      <c r="H29" s="34" t="n">
        <f aca="false">H28+F29</f>
        <v>3549233804.47715</v>
      </c>
    </row>
    <row r="30" customFormat="false" ht="15" hidden="false" customHeight="true" outlineLevel="0" collapsed="false">
      <c r="A30" s="32" t="n">
        <v>27</v>
      </c>
      <c r="B30" s="1" t="s">
        <v>193</v>
      </c>
      <c r="C30" s="34" t="n">
        <f aca="false">C29*(1+IF(A30&lt;=6,Assumptions!$B$16,IF(A30&lt;=12,Assumptions!$B$17,IF(A30&lt;=24,Assumptions!$B$18,Assumptions!$B$19))))</f>
        <v>5734.12605274122</v>
      </c>
      <c r="D30" s="33" t="n">
        <f aca="false">Assumptions!$B$8</f>
        <v>70000</v>
      </c>
      <c r="E30" s="34" t="n">
        <f aca="false">C30*D30</f>
        <v>401388823.691885</v>
      </c>
      <c r="F30" s="34" t="n">
        <f aca="false">E30</f>
        <v>401388823.691885</v>
      </c>
      <c r="G30" s="35" t="n">
        <f aca="false">F30/Assumptions!$B$4</f>
        <v>286706.302637061</v>
      </c>
      <c r="H30" s="34" t="n">
        <f aca="false">H29+F30</f>
        <v>3950622628.16903</v>
      </c>
    </row>
    <row r="31" customFormat="false" ht="15" hidden="false" customHeight="true" outlineLevel="0" collapsed="false">
      <c r="A31" s="32" t="n">
        <v>28</v>
      </c>
      <c r="B31" s="1" t="s">
        <v>194</v>
      </c>
      <c r="C31" s="34" t="n">
        <f aca="false">C30*(1+IF(A31&lt;=6,Assumptions!$B$16,IF(A31&lt;=12,Assumptions!$B$17,IF(A31&lt;=24,Assumptions!$B$18,Assumptions!$B$19))))</f>
        <v>6078.17361590569</v>
      </c>
      <c r="D31" s="33" t="n">
        <f aca="false">Assumptions!$B$8</f>
        <v>70000</v>
      </c>
      <c r="E31" s="34" t="n">
        <f aca="false">C31*D31</f>
        <v>425472153.113398</v>
      </c>
      <c r="F31" s="34" t="n">
        <f aca="false">E31</f>
        <v>425472153.113398</v>
      </c>
      <c r="G31" s="35" t="n">
        <f aca="false">F31/Assumptions!$B$4</f>
        <v>303908.680795284</v>
      </c>
      <c r="H31" s="34" t="n">
        <f aca="false">H30+F31</f>
        <v>4376094781.28243</v>
      </c>
    </row>
    <row r="32" customFormat="false" ht="15" hidden="false" customHeight="true" outlineLevel="0" collapsed="false">
      <c r="A32" s="32" t="n">
        <v>29</v>
      </c>
      <c r="B32" s="1" t="s">
        <v>195</v>
      </c>
      <c r="C32" s="34" t="n">
        <f aca="false">C31*(1+IF(A32&lt;=6,Assumptions!$B$16,IF(A32&lt;=12,Assumptions!$B$17,IF(A32&lt;=24,Assumptions!$B$18,Assumptions!$B$19))))</f>
        <v>6442.86403286003</v>
      </c>
      <c r="D32" s="33" t="n">
        <f aca="false">Assumptions!$B$8</f>
        <v>70000</v>
      </c>
      <c r="E32" s="34" t="n">
        <f aca="false">C32*D32</f>
        <v>451000482.300202</v>
      </c>
      <c r="F32" s="34" t="n">
        <f aca="false">E32</f>
        <v>451000482.300202</v>
      </c>
      <c r="G32" s="35" t="n">
        <f aca="false">F32/Assumptions!$B$4</f>
        <v>322143.201643001</v>
      </c>
      <c r="H32" s="34" t="n">
        <f aca="false">H31+F32</f>
        <v>4827095263.58264</v>
      </c>
    </row>
    <row r="33" customFormat="false" ht="15" hidden="false" customHeight="true" outlineLevel="0" collapsed="false">
      <c r="A33" s="32" t="n">
        <v>30</v>
      </c>
      <c r="B33" s="1" t="s">
        <v>196</v>
      </c>
      <c r="C33" s="34" t="n">
        <f aca="false">C32*(1+IF(A33&lt;=6,Assumptions!$B$16,IF(A33&lt;=12,Assumptions!$B$17,IF(A33&lt;=24,Assumptions!$B$18,Assumptions!$B$19))))</f>
        <v>6829.43587483163</v>
      </c>
      <c r="D33" s="33" t="n">
        <f aca="false">Assumptions!$B$8</f>
        <v>70000</v>
      </c>
      <c r="E33" s="34" t="n">
        <f aca="false">C33*D33</f>
        <v>478060511.238214</v>
      </c>
      <c r="F33" s="34" t="n">
        <f aca="false">E33</f>
        <v>478060511.238214</v>
      </c>
      <c r="G33" s="35" t="n">
        <f aca="false">F33/Assumptions!$B$4</f>
        <v>341471.793741582</v>
      </c>
      <c r="H33" s="34" t="n">
        <f aca="false">H32+F33</f>
        <v>5305155774.82085</v>
      </c>
    </row>
    <row r="34" customFormat="false" ht="15" hidden="false" customHeight="true" outlineLevel="0" collapsed="false">
      <c r="A34" s="32" t="n">
        <v>31</v>
      </c>
      <c r="B34" s="1" t="s">
        <v>197</v>
      </c>
      <c r="C34" s="34" t="n">
        <f aca="false">C33*(1+IF(A34&lt;=6,Assumptions!$B$16,IF(A34&lt;=12,Assumptions!$B$17,IF(A34&lt;=24,Assumptions!$B$18,Assumptions!$B$19))))</f>
        <v>7239.20202732153</v>
      </c>
      <c r="D34" s="33" t="n">
        <f aca="false">Assumptions!$B$8</f>
        <v>70000</v>
      </c>
      <c r="E34" s="34" t="n">
        <f aca="false">C34*D34</f>
        <v>506744141.912507</v>
      </c>
      <c r="F34" s="34" t="n">
        <f aca="false">E34</f>
        <v>506744141.912507</v>
      </c>
      <c r="G34" s="35" t="n">
        <f aca="false">F34/Assumptions!$B$4</f>
        <v>361960.101366077</v>
      </c>
      <c r="H34" s="34" t="n">
        <f aca="false">H33+F34</f>
        <v>5811899916.73336</v>
      </c>
    </row>
    <row r="35" customFormat="false" ht="15" hidden="false" customHeight="true" outlineLevel="0" collapsed="false">
      <c r="A35" s="32" t="n">
        <v>32</v>
      </c>
      <c r="B35" s="1" t="s">
        <v>198</v>
      </c>
      <c r="C35" s="34" t="n">
        <f aca="false">C34*(1+IF(A35&lt;=6,Assumptions!$B$16,IF(A35&lt;=12,Assumptions!$B$17,IF(A35&lt;=24,Assumptions!$B$18,Assumptions!$B$19))))</f>
        <v>7673.55414896082</v>
      </c>
      <c r="D35" s="33" t="n">
        <f aca="false">Assumptions!$B$8</f>
        <v>70000</v>
      </c>
      <c r="E35" s="34" t="n">
        <f aca="false">C35*D35</f>
        <v>537148790.427258</v>
      </c>
      <c r="F35" s="34" t="n">
        <f aca="false">E35</f>
        <v>537148790.427258</v>
      </c>
      <c r="G35" s="35" t="n">
        <f aca="false">F35/Assumptions!$B$4</f>
        <v>383677.707448041</v>
      </c>
      <c r="H35" s="34" t="n">
        <f aca="false">H34+F35</f>
        <v>6349048707.16061</v>
      </c>
    </row>
    <row r="36" customFormat="false" ht="15" hidden="false" customHeight="true" outlineLevel="0" collapsed="false">
      <c r="A36" s="32" t="n">
        <v>33</v>
      </c>
      <c r="B36" s="1" t="s">
        <v>199</v>
      </c>
      <c r="C36" s="34" t="n">
        <f aca="false">C35*(1+IF(A36&lt;=6,Assumptions!$B$16,IF(A36&lt;=12,Assumptions!$B$17,IF(A36&lt;=24,Assumptions!$B$18,Assumptions!$B$19))))</f>
        <v>8133.96739789847</v>
      </c>
      <c r="D36" s="33" t="n">
        <f aca="false">Assumptions!$B$8</f>
        <v>70000</v>
      </c>
      <c r="E36" s="34" t="n">
        <f aca="false">C36*D36</f>
        <v>569377717.852893</v>
      </c>
      <c r="F36" s="34" t="n">
        <f aca="false">E36</f>
        <v>569377717.852893</v>
      </c>
      <c r="G36" s="35" t="n">
        <f aca="false">F36/Assumptions!$B$4</f>
        <v>406698.369894924</v>
      </c>
      <c r="H36" s="34" t="n">
        <f aca="false">H35+F36</f>
        <v>6918426425.01351</v>
      </c>
    </row>
    <row r="37" customFormat="false" ht="15" hidden="false" customHeight="true" outlineLevel="0" collapsed="false">
      <c r="A37" s="32" t="n">
        <v>34</v>
      </c>
      <c r="B37" s="1" t="s">
        <v>200</v>
      </c>
      <c r="C37" s="34" t="n">
        <f aca="false">C36*(1+IF(A37&lt;=6,Assumptions!$B$16,IF(A37&lt;=12,Assumptions!$B$17,IF(A37&lt;=24,Assumptions!$B$18,Assumptions!$B$19))))</f>
        <v>8622.00544177238</v>
      </c>
      <c r="D37" s="33" t="n">
        <f aca="false">Assumptions!$B$8</f>
        <v>70000</v>
      </c>
      <c r="E37" s="34" t="n">
        <f aca="false">C37*D37</f>
        <v>603540380.924067</v>
      </c>
      <c r="F37" s="34" t="n">
        <f aca="false">E37</f>
        <v>603540380.924067</v>
      </c>
      <c r="G37" s="35" t="n">
        <f aca="false">F37/Assumptions!$B$4</f>
        <v>431100.272088619</v>
      </c>
      <c r="H37" s="34" t="n">
        <f aca="false">H36+F37</f>
        <v>7521966805.93757</v>
      </c>
    </row>
    <row r="38" customFormat="false" ht="15" hidden="false" customHeight="true" outlineLevel="0" collapsed="false">
      <c r="A38" s="32" t="n">
        <v>35</v>
      </c>
      <c r="B38" s="1" t="s">
        <v>201</v>
      </c>
      <c r="C38" s="34" t="n">
        <f aca="false">C37*(1+IF(A38&lt;=6,Assumptions!$B$16,IF(A38&lt;=12,Assumptions!$B$17,IF(A38&lt;=24,Assumptions!$B$18,Assumptions!$B$19))))</f>
        <v>9139.32576827872</v>
      </c>
      <c r="D38" s="33" t="n">
        <f aca="false">Assumptions!$B$8</f>
        <v>70000</v>
      </c>
      <c r="E38" s="34" t="n">
        <f aca="false">C38*D38</f>
        <v>639752803.779511</v>
      </c>
      <c r="F38" s="34" t="n">
        <f aca="false">E38</f>
        <v>639752803.779511</v>
      </c>
      <c r="G38" s="35" t="n">
        <f aca="false">F38/Assumptions!$B$4</f>
        <v>456966.288413936</v>
      </c>
      <c r="H38" s="34" t="n">
        <f aca="false">H37+F38</f>
        <v>8161719609.71708</v>
      </c>
    </row>
    <row r="39" customFormat="false" ht="15" hidden="false" customHeight="true" outlineLevel="0" collapsed="false">
      <c r="A39" s="32" t="n">
        <v>36</v>
      </c>
      <c r="B39" s="1" t="s">
        <v>202</v>
      </c>
      <c r="C39" s="34" t="n">
        <f aca="false">C38*(1+IF(A39&lt;=6,Assumptions!$B$16,IF(A39&lt;=12,Assumptions!$B$17,IF(A39&lt;=24,Assumptions!$B$18,Assumptions!$B$19))))</f>
        <v>9687.68531437545</v>
      </c>
      <c r="D39" s="33" t="n">
        <f aca="false">Assumptions!$B$8</f>
        <v>70000</v>
      </c>
      <c r="E39" s="34" t="n">
        <f aca="false">C39*D39</f>
        <v>678137972.006281</v>
      </c>
      <c r="F39" s="34" t="n">
        <f aca="false">E39</f>
        <v>678137972.006281</v>
      </c>
      <c r="G39" s="35" t="n">
        <f aca="false">F39/Assumptions!$B$4</f>
        <v>484384.265718772</v>
      </c>
      <c r="H39" s="34" t="n">
        <f aca="false">H38+F39</f>
        <v>8839857581.72337</v>
      </c>
    </row>
    <row r="40" customFormat="false" ht="15" hidden="false" customHeight="true" outlineLevel="0" collapsed="false">
      <c r="A40" s="8" t="s">
        <v>203</v>
      </c>
      <c r="B40" s="5"/>
      <c r="C40" s="5"/>
      <c r="D40" s="5"/>
      <c r="E40" s="36" t="n">
        <f aca="false">SUM(E4:E15)</f>
        <v>475230156.045996</v>
      </c>
      <c r="F40" s="36" t="n">
        <f aca="false">SUM(F4:F15)</f>
        <v>475230156.045996</v>
      </c>
      <c r="G40" s="37" t="n">
        <f aca="false">F40/Assumptions!$B$4</f>
        <v>339450.111461426</v>
      </c>
      <c r="H40" s="5"/>
    </row>
    <row r="41" customFormat="false" ht="15" hidden="false" customHeight="true" outlineLevel="0" collapsed="false">
      <c r="A41" s="8" t="s">
        <v>204</v>
      </c>
      <c r="B41" s="5"/>
      <c r="C41" s="5"/>
      <c r="D41" s="5"/>
      <c r="E41" s="36" t="n">
        <f aca="false">SUM(E16:E27)</f>
        <v>2338100322.68775</v>
      </c>
      <c r="F41" s="36" t="n">
        <f aca="false">SUM(F16:F27)</f>
        <v>2338100322.68775</v>
      </c>
      <c r="G41" s="37" t="n">
        <f aca="false">F41/Assumptions!$B$4</f>
        <v>1670071.65906268</v>
      </c>
      <c r="H41" s="5"/>
    </row>
    <row r="42" customFormat="false" ht="15" hidden="false" customHeight="true" outlineLevel="0" collapsed="false">
      <c r="A42" s="8" t="s">
        <v>205</v>
      </c>
      <c r="B42" s="5"/>
      <c r="C42" s="5"/>
      <c r="D42" s="5"/>
      <c r="E42" s="36" t="n">
        <f aca="false">SUM(E28:E39)</f>
        <v>6026527102.98961</v>
      </c>
      <c r="F42" s="36" t="n">
        <f aca="false">SUM(F28:F39)</f>
        <v>6026527102.98961</v>
      </c>
      <c r="G42" s="37" t="n">
        <f aca="false">F42/Assumptions!$B$4</f>
        <v>4304662.21642115</v>
      </c>
      <c r="H42" s="5"/>
    </row>
    <row r="43" customFormat="false" ht="15" hidden="false" customHeight="true" outlineLevel="0" collapsed="false">
      <c r="A43" s="38" t="s">
        <v>206</v>
      </c>
      <c r="B43" s="38"/>
      <c r="C43" s="38"/>
      <c r="D43" s="38"/>
      <c r="E43" s="39" t="n">
        <f aca="false">E40+E41+E42</f>
        <v>8839857581.72337</v>
      </c>
      <c r="F43" s="39" t="n">
        <f aca="false">F40+F41+F42</f>
        <v>8839857581.72337</v>
      </c>
      <c r="G43" s="40" t="n">
        <f aca="false">F43/Assumptions!$B$4</f>
        <v>6314183.98694526</v>
      </c>
      <c r="H43" s="38"/>
    </row>
    <row r="44" customFormat="false" ht="15" hidden="false" customHeight="true" outlineLevel="0" collapsed="false">
      <c r="A44" s="41" t="s">
        <v>207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40" min="2" style="1" width="12"/>
  </cols>
  <sheetData>
    <row r="1" customFormat="false" ht="20.25" hidden="false" customHeight="true" outlineLevel="0" collapsed="false">
      <c r="A1" s="11" t="s">
        <v>208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3" customFormat="false" ht="15" hidden="false" customHeight="true" outlineLevel="0" collapsed="false">
      <c r="A3" s="25" t="s">
        <v>139</v>
      </c>
      <c r="B3" s="25" t="s">
        <v>209</v>
      </c>
      <c r="C3" s="25" t="s">
        <v>210</v>
      </c>
      <c r="D3" s="25" t="s">
        <v>211</v>
      </c>
      <c r="E3" s="25" t="s">
        <v>212</v>
      </c>
      <c r="F3" s="25" t="s">
        <v>213</v>
      </c>
      <c r="G3" s="25" t="s">
        <v>214</v>
      </c>
      <c r="H3" s="25" t="s">
        <v>215</v>
      </c>
      <c r="I3" s="25" t="s">
        <v>216</v>
      </c>
      <c r="J3" s="25" t="s">
        <v>217</v>
      </c>
      <c r="K3" s="25" t="s">
        <v>218</v>
      </c>
      <c r="L3" s="25" t="s">
        <v>219</v>
      </c>
      <c r="M3" s="25" t="s">
        <v>220</v>
      </c>
      <c r="N3" s="25" t="s">
        <v>221</v>
      </c>
      <c r="O3" s="25" t="s">
        <v>222</v>
      </c>
      <c r="P3" s="25" t="s">
        <v>223</v>
      </c>
      <c r="Q3" s="25" t="s">
        <v>224</v>
      </c>
      <c r="R3" s="25" t="s">
        <v>225</v>
      </c>
      <c r="S3" s="25" t="s">
        <v>226</v>
      </c>
      <c r="T3" s="25" t="s">
        <v>227</v>
      </c>
      <c r="U3" s="25" t="s">
        <v>228</v>
      </c>
      <c r="V3" s="25" t="s">
        <v>229</v>
      </c>
      <c r="W3" s="25" t="s">
        <v>230</v>
      </c>
      <c r="X3" s="25" t="s">
        <v>231</v>
      </c>
      <c r="Y3" s="25" t="s">
        <v>232</v>
      </c>
      <c r="Z3" s="25" t="s">
        <v>233</v>
      </c>
      <c r="AA3" s="25" t="s">
        <v>234</v>
      </c>
      <c r="AB3" s="25" t="s">
        <v>235</v>
      </c>
      <c r="AC3" s="25" t="s">
        <v>236</v>
      </c>
      <c r="AD3" s="25" t="s">
        <v>237</v>
      </c>
      <c r="AE3" s="25" t="s">
        <v>238</v>
      </c>
      <c r="AF3" s="25" t="s">
        <v>239</v>
      </c>
      <c r="AG3" s="25" t="s">
        <v>240</v>
      </c>
      <c r="AH3" s="25" t="s">
        <v>241</v>
      </c>
      <c r="AI3" s="25" t="s">
        <v>242</v>
      </c>
      <c r="AJ3" s="25" t="s">
        <v>243</v>
      </c>
      <c r="AK3" s="25" t="s">
        <v>244</v>
      </c>
      <c r="AL3" s="25" t="s">
        <v>245</v>
      </c>
      <c r="AM3" s="25" t="s">
        <v>246</v>
      </c>
      <c r="AN3" s="25" t="s">
        <v>247</v>
      </c>
    </row>
    <row r="4" customFormat="false" ht="15" hidden="false" customHeight="true" outlineLevel="0" collapsed="false">
      <c r="A4" s="27" t="s">
        <v>248</v>
      </c>
      <c r="B4" s="33" t="n">
        <f aca="false">Revenue!F4</f>
        <v>10500000</v>
      </c>
      <c r="C4" s="33" t="n">
        <f aca="false">Revenue!F5</f>
        <v>13125000</v>
      </c>
      <c r="D4" s="33" t="n">
        <f aca="false">Revenue!F6</f>
        <v>16406250</v>
      </c>
      <c r="E4" s="33" t="n">
        <f aca="false">Revenue!F7</f>
        <v>20507812.5</v>
      </c>
      <c r="F4" s="33" t="n">
        <f aca="false">Revenue!F8</f>
        <v>25634765.625</v>
      </c>
      <c r="G4" s="33" t="n">
        <f aca="false">Revenue!F9</f>
        <v>32043457.03125</v>
      </c>
      <c r="H4" s="33" t="n">
        <f aca="false">Revenue!F10</f>
        <v>37811279.296875</v>
      </c>
      <c r="I4" s="33" t="n">
        <f aca="false">Revenue!F11</f>
        <v>44617309.5703125</v>
      </c>
      <c r="J4" s="33" t="n">
        <f aca="false">Revenue!F12</f>
        <v>52648425.2929688</v>
      </c>
      <c r="K4" s="33" t="n">
        <f aca="false">Revenue!F13</f>
        <v>62125141.8457031</v>
      </c>
      <c r="L4" s="33" t="n">
        <f aca="false">Revenue!F14</f>
        <v>73307667.3779297</v>
      </c>
      <c r="M4" s="33" t="n">
        <f aca="false">Revenue!F15</f>
        <v>86503047.505957</v>
      </c>
      <c r="N4" s="33" t="n">
        <f aca="false">Revenue!F16</f>
        <v>96883413.2066719</v>
      </c>
      <c r="O4" s="33" t="n">
        <f aca="false">Revenue!F17</f>
        <v>108509422.791473</v>
      </c>
      <c r="P4" s="33" t="n">
        <f aca="false">Revenue!F18</f>
        <v>121530553.526449</v>
      </c>
      <c r="Q4" s="33" t="n">
        <f aca="false">Revenue!F19</f>
        <v>136114219.949623</v>
      </c>
      <c r="R4" s="33" t="n">
        <f aca="false">Revenue!F20</f>
        <v>152447926.343578</v>
      </c>
      <c r="S4" s="33" t="n">
        <f aca="false">Revenue!F21</f>
        <v>170741677.504807</v>
      </c>
      <c r="T4" s="33" t="n">
        <f aca="false">Revenue!F22</f>
        <v>191230678.805384</v>
      </c>
      <c r="U4" s="33" t="n">
        <f aca="false">Revenue!F23</f>
        <v>214178360.26203</v>
      </c>
      <c r="V4" s="33" t="n">
        <f aca="false">Revenue!F24</f>
        <v>239879763.493474</v>
      </c>
      <c r="W4" s="33" t="n">
        <f aca="false">Revenue!F25</f>
        <v>268665335.112691</v>
      </c>
      <c r="X4" s="33" t="n">
        <f aca="false">Revenue!F26</f>
        <v>300905175.326214</v>
      </c>
      <c r="Y4" s="33" t="n">
        <f aca="false">Revenue!F27</f>
        <v>337013796.36536</v>
      </c>
      <c r="Z4" s="33" t="n">
        <f aca="false">Revenue!F28</f>
        <v>357234624.147281</v>
      </c>
      <c r="AA4" s="33" t="n">
        <f aca="false">Revenue!F29</f>
        <v>378668701.596118</v>
      </c>
      <c r="AB4" s="33" t="n">
        <f aca="false">Revenue!F30</f>
        <v>401388823.691885</v>
      </c>
      <c r="AC4" s="33" t="n">
        <f aca="false">Revenue!F31</f>
        <v>425472153.113398</v>
      </c>
      <c r="AD4" s="33" t="n">
        <f aca="false">Revenue!F32</f>
        <v>451000482.300202</v>
      </c>
      <c r="AE4" s="33" t="n">
        <f aca="false">Revenue!F33</f>
        <v>478060511.238214</v>
      </c>
      <c r="AF4" s="33" t="n">
        <f aca="false">Revenue!F34</f>
        <v>506744141.912507</v>
      </c>
      <c r="AG4" s="33" t="n">
        <f aca="false">Revenue!F35</f>
        <v>537148790.427258</v>
      </c>
      <c r="AH4" s="33" t="n">
        <f aca="false">Revenue!F36</f>
        <v>569377717.852893</v>
      </c>
      <c r="AI4" s="33" t="n">
        <f aca="false">Revenue!F37</f>
        <v>603540380.924067</v>
      </c>
      <c r="AJ4" s="33" t="n">
        <f aca="false">Revenue!F38</f>
        <v>639752803.779511</v>
      </c>
      <c r="AK4" s="33" t="n">
        <f aca="false">Revenue!F39</f>
        <v>678137972.006281</v>
      </c>
      <c r="AL4" s="42" t="n">
        <f aca="false">SUM(B4:M4)</f>
        <v>475230156.045996</v>
      </c>
      <c r="AM4" s="42" t="n">
        <f aca="false">SUM(N4:Y4)</f>
        <v>2338100322.68775</v>
      </c>
      <c r="AN4" s="42" t="n">
        <f aca="false">SUM(Z4:AK4)</f>
        <v>6026527102.98961</v>
      </c>
    </row>
    <row r="5" customFormat="false" ht="16.5" hidden="false" customHeight="true" outlineLevel="0" collapsed="false">
      <c r="A5" s="1" t="s">
        <v>249</v>
      </c>
      <c r="B5" s="34" t="n">
        <f aca="false">B4*Assumptions!$B$10</f>
        <v>7350000</v>
      </c>
      <c r="C5" s="34" t="n">
        <f aca="false">C4*Assumptions!$B$10</f>
        <v>9187500</v>
      </c>
      <c r="D5" s="34" t="n">
        <f aca="false">D4*Assumptions!$B$10</f>
        <v>11484375</v>
      </c>
      <c r="E5" s="34" t="n">
        <f aca="false">E4*Assumptions!$B$10</f>
        <v>14355468.75</v>
      </c>
      <c r="F5" s="34" t="n">
        <f aca="false">F4*Assumptions!$B$10</f>
        <v>17944335.9375</v>
      </c>
      <c r="G5" s="34" t="n">
        <f aca="false">G4*Assumptions!$B$10</f>
        <v>22430419.921875</v>
      </c>
      <c r="H5" s="34" t="n">
        <f aca="false">H4*Assumptions!$B$10</f>
        <v>26467895.5078125</v>
      </c>
      <c r="I5" s="34" t="n">
        <f aca="false">I4*Assumptions!$B$10</f>
        <v>31232116.6992187</v>
      </c>
      <c r="J5" s="34" t="n">
        <f aca="false">J4*Assumptions!$B$10</f>
        <v>36853897.7050781</v>
      </c>
      <c r="K5" s="34" t="n">
        <f aca="false">K4*Assumptions!$B$10</f>
        <v>43487599.2919922</v>
      </c>
      <c r="L5" s="34" t="n">
        <f aca="false">L4*Assumptions!$B$10</f>
        <v>51315367.1645508</v>
      </c>
      <c r="M5" s="34" t="n">
        <f aca="false">M4*Assumptions!$B$10</f>
        <v>60552133.2541699</v>
      </c>
      <c r="N5" s="34" t="n">
        <f aca="false">N4*Assumptions!$B$10</f>
        <v>67818389.2446703</v>
      </c>
      <c r="O5" s="34" t="n">
        <f aca="false">O4*Assumptions!$B$10</f>
        <v>75956595.9540308</v>
      </c>
      <c r="P5" s="34" t="n">
        <f aca="false">P4*Assumptions!$B$10</f>
        <v>85071387.4685145</v>
      </c>
      <c r="Q5" s="34" t="n">
        <f aca="false">Q4*Assumptions!$B$10</f>
        <v>95279953.9647362</v>
      </c>
      <c r="R5" s="34" t="n">
        <f aca="false">R4*Assumptions!$B$10</f>
        <v>106713548.440505</v>
      </c>
      <c r="S5" s="34" t="n">
        <f aca="false">S4*Assumptions!$B$10</f>
        <v>119519174.253365</v>
      </c>
      <c r="T5" s="34" t="n">
        <f aca="false">T4*Assumptions!$B$10</f>
        <v>133861475.163769</v>
      </c>
      <c r="U5" s="34" t="n">
        <f aca="false">U4*Assumptions!$B$10</f>
        <v>149924852.183421</v>
      </c>
      <c r="V5" s="34" t="n">
        <f aca="false">V4*Assumptions!$B$10</f>
        <v>167915834.445432</v>
      </c>
      <c r="W5" s="34" t="n">
        <f aca="false">W4*Assumptions!$B$10</f>
        <v>188065734.578884</v>
      </c>
      <c r="X5" s="34" t="n">
        <f aca="false">X4*Assumptions!$B$10</f>
        <v>210633622.72835</v>
      </c>
      <c r="Y5" s="34" t="n">
        <f aca="false">Y4*Assumptions!$B$10</f>
        <v>235909657.455752</v>
      </c>
      <c r="Z5" s="34" t="n">
        <f aca="false">Z4*Assumptions!$B$10</f>
        <v>250064236.903097</v>
      </c>
      <c r="AA5" s="34" t="n">
        <f aca="false">AA4*Assumptions!$B$10</f>
        <v>265068091.117283</v>
      </c>
      <c r="AB5" s="34" t="n">
        <f aca="false">AB4*Assumptions!$B$10</f>
        <v>280972176.58432</v>
      </c>
      <c r="AC5" s="34" t="n">
        <f aca="false">AC4*Assumptions!$B$10</f>
        <v>297830507.179379</v>
      </c>
      <c r="AD5" s="34" t="n">
        <f aca="false">AD4*Assumptions!$B$10</f>
        <v>315700337.610141</v>
      </c>
      <c r="AE5" s="34" t="n">
        <f aca="false">AE4*Assumptions!$B$10</f>
        <v>334642357.86675</v>
      </c>
      <c r="AF5" s="34" t="n">
        <f aca="false">AF4*Assumptions!$B$10</f>
        <v>354720899.338755</v>
      </c>
      <c r="AG5" s="34" t="n">
        <f aca="false">AG4*Assumptions!$B$10</f>
        <v>376004153.29908</v>
      </c>
      <c r="AH5" s="34" t="n">
        <f aca="false">AH4*Assumptions!$B$10</f>
        <v>398564402.497025</v>
      </c>
      <c r="AI5" s="34" t="n">
        <f aca="false">AI4*Assumptions!$B$10</f>
        <v>422478266.646847</v>
      </c>
      <c r="AJ5" s="34" t="n">
        <f aca="false">AJ4*Assumptions!$B$10</f>
        <v>447826962.645658</v>
      </c>
      <c r="AK5" s="34" t="n">
        <f aca="false">AK4*Assumptions!$B$10</f>
        <v>474696580.404397</v>
      </c>
      <c r="AL5" s="43" t="n">
        <f aca="false">SUM(B5:M5)</f>
        <v>332661109.232197</v>
      </c>
      <c r="AM5" s="43" t="n">
        <f aca="false">SUM(N5:Y5)</f>
        <v>1636670225.88143</v>
      </c>
      <c r="AN5" s="43" t="n">
        <f aca="false">SUM(Z5:AK5)</f>
        <v>4218568972.09273</v>
      </c>
    </row>
    <row r="6" customFormat="false" ht="15" hidden="false" customHeight="true" outlineLevel="0" collapsed="false">
      <c r="A6" s="27" t="s">
        <v>147</v>
      </c>
      <c r="B6" s="36" t="n">
        <f aca="false">B4-B5</f>
        <v>3150000</v>
      </c>
      <c r="C6" s="36" t="n">
        <f aca="false">C4-C5</f>
        <v>3937500</v>
      </c>
      <c r="D6" s="36" t="n">
        <f aca="false">D4-D5</f>
        <v>4921875</v>
      </c>
      <c r="E6" s="36" t="n">
        <f aca="false">E4-E5</f>
        <v>6152343.75</v>
      </c>
      <c r="F6" s="36" t="n">
        <f aca="false">F4-F5</f>
        <v>7690429.6875</v>
      </c>
      <c r="G6" s="36" t="n">
        <f aca="false">G4-G5</f>
        <v>9613037.109375</v>
      </c>
      <c r="H6" s="36" t="n">
        <f aca="false">H4-H5</f>
        <v>11343383.7890625</v>
      </c>
      <c r="I6" s="36" t="n">
        <f aca="false">I4-I5</f>
        <v>13385192.8710938</v>
      </c>
      <c r="J6" s="36" t="n">
        <f aca="false">J4-J5</f>
        <v>15794527.5878906</v>
      </c>
      <c r="K6" s="36" t="n">
        <f aca="false">K4-K5</f>
        <v>18637542.5537109</v>
      </c>
      <c r="L6" s="36" t="n">
        <f aca="false">L4-L5</f>
        <v>21992300.2133789</v>
      </c>
      <c r="M6" s="36" t="n">
        <f aca="false">M4-M5</f>
        <v>25950914.2517871</v>
      </c>
      <c r="N6" s="36" t="n">
        <f aca="false">N4-N5</f>
        <v>29065023.9620016</v>
      </c>
      <c r="O6" s="36" t="n">
        <f aca="false">O4-O5</f>
        <v>32552826.8374418</v>
      </c>
      <c r="P6" s="36" t="n">
        <f aca="false">P4-P5</f>
        <v>36459166.0579348</v>
      </c>
      <c r="Q6" s="36" t="n">
        <f aca="false">Q4-Q5</f>
        <v>40834265.9848869</v>
      </c>
      <c r="R6" s="36" t="n">
        <f aca="false">R4-R5</f>
        <v>45734377.9030734</v>
      </c>
      <c r="S6" s="36" t="n">
        <f aca="false">S4-S5</f>
        <v>51222503.2514422</v>
      </c>
      <c r="T6" s="36" t="n">
        <f aca="false">T4-T5</f>
        <v>57369203.6416153</v>
      </c>
      <c r="U6" s="36" t="n">
        <f aca="false">U4-U5</f>
        <v>64253508.0786091</v>
      </c>
      <c r="V6" s="36" t="n">
        <f aca="false">V4-V5</f>
        <v>71963929.0480422</v>
      </c>
      <c r="W6" s="36" t="n">
        <f aca="false">W4-W5</f>
        <v>80599600.5338073</v>
      </c>
      <c r="X6" s="36" t="n">
        <f aca="false">X4-X5</f>
        <v>90271552.5978642</v>
      </c>
      <c r="Y6" s="36" t="n">
        <f aca="false">Y4-Y5</f>
        <v>101104138.909608</v>
      </c>
      <c r="Z6" s="36" t="n">
        <f aca="false">Z4-Z5</f>
        <v>107170387.244184</v>
      </c>
      <c r="AA6" s="36" t="n">
        <f aca="false">AA4-AA5</f>
        <v>113600610.478835</v>
      </c>
      <c r="AB6" s="36" t="n">
        <f aca="false">AB4-AB5</f>
        <v>120416647.107566</v>
      </c>
      <c r="AC6" s="36" t="n">
        <f aca="false">AC4-AC5</f>
        <v>127641645.93402</v>
      </c>
      <c r="AD6" s="36" t="n">
        <f aca="false">AD4-AD5</f>
        <v>135300144.690061</v>
      </c>
      <c r="AE6" s="36" t="n">
        <f aca="false">AE4-AE5</f>
        <v>143418153.371464</v>
      </c>
      <c r="AF6" s="36" t="n">
        <f aca="false">AF4-AF5</f>
        <v>152023242.573752</v>
      </c>
      <c r="AG6" s="36" t="n">
        <f aca="false">AG4-AG5</f>
        <v>161144637.128177</v>
      </c>
      <c r="AH6" s="36" t="n">
        <f aca="false">AH4-AH5</f>
        <v>170813315.355868</v>
      </c>
      <c r="AI6" s="36" t="n">
        <f aca="false">AI4-AI5</f>
        <v>181062114.27722</v>
      </c>
      <c r="AJ6" s="36" t="n">
        <f aca="false">AJ4-AJ5</f>
        <v>191925841.133853</v>
      </c>
      <c r="AK6" s="36" t="n">
        <f aca="false">AK4-AK5</f>
        <v>203441391.601884</v>
      </c>
      <c r="AL6" s="42" t="n">
        <f aca="false">SUM(B6:M6)</f>
        <v>142569046.813799</v>
      </c>
      <c r="AM6" s="42" t="n">
        <f aca="false">SUM(N6:Y6)</f>
        <v>701430096.806327</v>
      </c>
      <c r="AN6" s="42" t="n">
        <f aca="false">SUM(Z6:AK6)</f>
        <v>1807958130.89688</v>
      </c>
    </row>
    <row r="7" customFormat="false" ht="15" hidden="false" customHeight="true" outlineLevel="0" collapsed="false">
      <c r="A7" s="44" t="s">
        <v>250</v>
      </c>
    </row>
    <row r="8" customFormat="false" ht="15" hidden="false" customHeight="true" outlineLevel="0" collapsed="false">
      <c r="A8" s="1" t="s">
        <v>251</v>
      </c>
      <c r="B8" s="33" t="n">
        <f aca="false">Headcount!D4</f>
        <v>30000000</v>
      </c>
      <c r="C8" s="33" t="n">
        <f aca="false">Headcount!D5</f>
        <v>30000000</v>
      </c>
      <c r="D8" s="33" t="n">
        <f aca="false">Headcount!D6</f>
        <v>30000000</v>
      </c>
      <c r="E8" s="33" t="n">
        <f aca="false">Headcount!D7</f>
        <v>30000000</v>
      </c>
      <c r="F8" s="33" t="n">
        <f aca="false">Headcount!D8</f>
        <v>30000000</v>
      </c>
      <c r="G8" s="33" t="n">
        <f aca="false">Headcount!D9</f>
        <v>30000000</v>
      </c>
      <c r="H8" s="33" t="n">
        <f aca="false">Headcount!D10</f>
        <v>40000000</v>
      </c>
      <c r="I8" s="33" t="n">
        <f aca="false">Headcount!D11</f>
        <v>40000000</v>
      </c>
      <c r="J8" s="33" t="n">
        <f aca="false">Headcount!D12</f>
        <v>40000000</v>
      </c>
      <c r="K8" s="33" t="n">
        <f aca="false">Headcount!D13</f>
        <v>40000000</v>
      </c>
      <c r="L8" s="33" t="n">
        <f aca="false">Headcount!D14</f>
        <v>40000000</v>
      </c>
      <c r="M8" s="33" t="n">
        <f aca="false">Headcount!D15</f>
        <v>40000000</v>
      </c>
      <c r="N8" s="33" t="n">
        <f aca="false">Headcount!D16</f>
        <v>50000000</v>
      </c>
      <c r="O8" s="33" t="n">
        <f aca="false">Headcount!D17</f>
        <v>50000000</v>
      </c>
      <c r="P8" s="33" t="n">
        <f aca="false">Headcount!D18</f>
        <v>50000000</v>
      </c>
      <c r="Q8" s="33" t="n">
        <f aca="false">Headcount!D19</f>
        <v>50000000</v>
      </c>
      <c r="R8" s="33" t="n">
        <f aca="false">Headcount!D20</f>
        <v>50000000</v>
      </c>
      <c r="S8" s="33" t="n">
        <f aca="false">Headcount!D21</f>
        <v>50000000</v>
      </c>
      <c r="T8" s="33" t="n">
        <f aca="false">Headcount!D22</f>
        <v>50000000</v>
      </c>
      <c r="U8" s="33" t="n">
        <f aca="false">Headcount!D23</f>
        <v>50000000</v>
      </c>
      <c r="V8" s="33" t="n">
        <f aca="false">Headcount!D24</f>
        <v>50000000</v>
      </c>
      <c r="W8" s="33" t="n">
        <f aca="false">Headcount!D25</f>
        <v>50000000</v>
      </c>
      <c r="X8" s="33" t="n">
        <f aca="false">Headcount!D26</f>
        <v>50000000</v>
      </c>
      <c r="Y8" s="33" t="n">
        <f aca="false">Headcount!D27</f>
        <v>50000000</v>
      </c>
      <c r="Z8" s="33" t="n">
        <f aca="false">Headcount!D28</f>
        <v>70000000</v>
      </c>
      <c r="AA8" s="33" t="n">
        <f aca="false">Headcount!D29</f>
        <v>70000000</v>
      </c>
      <c r="AB8" s="33" t="n">
        <f aca="false">Headcount!D30</f>
        <v>70000000</v>
      </c>
      <c r="AC8" s="33" t="n">
        <f aca="false">Headcount!D31</f>
        <v>70000000</v>
      </c>
      <c r="AD8" s="33" t="n">
        <f aca="false">Headcount!D32</f>
        <v>70000000</v>
      </c>
      <c r="AE8" s="33" t="n">
        <f aca="false">Headcount!D33</f>
        <v>70000000</v>
      </c>
      <c r="AF8" s="33" t="n">
        <f aca="false">Headcount!D34</f>
        <v>70000000</v>
      </c>
      <c r="AG8" s="33" t="n">
        <f aca="false">Headcount!D35</f>
        <v>70000000</v>
      </c>
      <c r="AH8" s="33" t="n">
        <f aca="false">Headcount!D36</f>
        <v>70000000</v>
      </c>
      <c r="AI8" s="33" t="n">
        <f aca="false">Headcount!D37</f>
        <v>70000000</v>
      </c>
      <c r="AJ8" s="33" t="n">
        <f aca="false">Headcount!D38</f>
        <v>70000000</v>
      </c>
      <c r="AK8" s="33" t="n">
        <f aca="false">Headcount!D39</f>
        <v>70000000</v>
      </c>
      <c r="AL8" s="43" t="n">
        <f aca="false">SUM(B8:M8)</f>
        <v>420000000</v>
      </c>
      <c r="AM8" s="43" t="n">
        <f aca="false">SUM(N8:Y8)</f>
        <v>600000000</v>
      </c>
      <c r="AN8" s="43" t="n">
        <f aca="false">SUM(Z8:AK8)</f>
        <v>840000000</v>
      </c>
    </row>
    <row r="9" customFormat="false" ht="15" hidden="false" customHeight="true" outlineLevel="0" collapsed="false">
      <c r="A9" s="1" t="s">
        <v>252</v>
      </c>
      <c r="B9" s="33" t="n">
        <f aca="false">Assumptions!$B$23</f>
        <v>5000000</v>
      </c>
      <c r="C9" s="33" t="n">
        <f aca="false">Assumptions!$B$23</f>
        <v>5000000</v>
      </c>
      <c r="D9" s="33" t="n">
        <f aca="false">Assumptions!$B$23</f>
        <v>5000000</v>
      </c>
      <c r="E9" s="33" t="n">
        <f aca="false">Assumptions!$B$23</f>
        <v>5000000</v>
      </c>
      <c r="F9" s="33" t="n">
        <f aca="false">Assumptions!$B$23</f>
        <v>5000000</v>
      </c>
      <c r="G9" s="33" t="n">
        <f aca="false">Assumptions!$B$23</f>
        <v>5000000</v>
      </c>
      <c r="H9" s="33" t="n">
        <f aca="false">Assumptions!$B$23</f>
        <v>5000000</v>
      </c>
      <c r="I9" s="33" t="n">
        <f aca="false">Assumptions!$B$23</f>
        <v>5000000</v>
      </c>
      <c r="J9" s="33" t="n">
        <f aca="false">Assumptions!$B$23</f>
        <v>5000000</v>
      </c>
      <c r="K9" s="33" t="n">
        <f aca="false">Assumptions!$B$23</f>
        <v>5000000</v>
      </c>
      <c r="L9" s="33" t="n">
        <f aca="false">Assumptions!$B$23</f>
        <v>5000000</v>
      </c>
      <c r="M9" s="33" t="n">
        <f aca="false">Assumptions!$B$23</f>
        <v>5000000</v>
      </c>
      <c r="N9" s="33" t="n">
        <f aca="false">Assumptions!$B$23</f>
        <v>5000000</v>
      </c>
      <c r="O9" s="33" t="n">
        <f aca="false">Assumptions!$B$23</f>
        <v>5000000</v>
      </c>
      <c r="P9" s="33" t="n">
        <f aca="false">Assumptions!$B$23</f>
        <v>5000000</v>
      </c>
      <c r="Q9" s="33" t="n">
        <f aca="false">Assumptions!$B$23</f>
        <v>5000000</v>
      </c>
      <c r="R9" s="33" t="n">
        <f aca="false">Assumptions!$B$23</f>
        <v>5000000</v>
      </c>
      <c r="S9" s="33" t="n">
        <f aca="false">Assumptions!$B$23</f>
        <v>5000000</v>
      </c>
      <c r="T9" s="33" t="n">
        <f aca="false">Assumptions!$B$23</f>
        <v>5000000</v>
      </c>
      <c r="U9" s="33" t="n">
        <f aca="false">Assumptions!$B$23</f>
        <v>5000000</v>
      </c>
      <c r="V9" s="33" t="n">
        <f aca="false">Assumptions!$B$23</f>
        <v>5000000</v>
      </c>
      <c r="W9" s="33" t="n">
        <f aca="false">Assumptions!$B$23</f>
        <v>5000000</v>
      </c>
      <c r="X9" s="33" t="n">
        <f aca="false">Assumptions!$B$23</f>
        <v>5000000</v>
      </c>
      <c r="Y9" s="33" t="n">
        <f aca="false">Assumptions!$B$23</f>
        <v>5000000</v>
      </c>
      <c r="Z9" s="33" t="n">
        <f aca="false">Assumptions!$B$23</f>
        <v>5000000</v>
      </c>
      <c r="AA9" s="33" t="n">
        <f aca="false">Assumptions!$B$23</f>
        <v>5000000</v>
      </c>
      <c r="AB9" s="33" t="n">
        <f aca="false">Assumptions!$B$23</f>
        <v>5000000</v>
      </c>
      <c r="AC9" s="33" t="n">
        <f aca="false">Assumptions!$B$23</f>
        <v>5000000</v>
      </c>
      <c r="AD9" s="33" t="n">
        <f aca="false">Assumptions!$B$23</f>
        <v>5000000</v>
      </c>
      <c r="AE9" s="33" t="n">
        <f aca="false">Assumptions!$B$23</f>
        <v>5000000</v>
      </c>
      <c r="AF9" s="33" t="n">
        <f aca="false">Assumptions!$B$23</f>
        <v>5000000</v>
      </c>
      <c r="AG9" s="33" t="n">
        <f aca="false">Assumptions!$B$23</f>
        <v>5000000</v>
      </c>
      <c r="AH9" s="33" t="n">
        <f aca="false">Assumptions!$B$23</f>
        <v>5000000</v>
      </c>
      <c r="AI9" s="33" t="n">
        <f aca="false">Assumptions!$B$23</f>
        <v>5000000</v>
      </c>
      <c r="AJ9" s="33" t="n">
        <f aca="false">Assumptions!$B$23</f>
        <v>5000000</v>
      </c>
      <c r="AK9" s="33" t="n">
        <f aca="false">Assumptions!$B$23</f>
        <v>5000000</v>
      </c>
      <c r="AL9" s="43" t="n">
        <f aca="false">SUM(B9:M9)</f>
        <v>60000000</v>
      </c>
      <c r="AM9" s="43" t="n">
        <f aca="false">SUM(N9:Y9)</f>
        <v>60000000</v>
      </c>
      <c r="AN9" s="43" t="n">
        <f aca="false">SUM(Z9:AK9)</f>
        <v>60000000</v>
      </c>
    </row>
    <row r="10" customFormat="false" ht="15" hidden="false" customHeight="true" outlineLevel="0" collapsed="false">
      <c r="A10" s="1" t="s">
        <v>253</v>
      </c>
      <c r="B10" s="34" t="n">
        <f aca="false">B4*IF(1&lt;=12,Assumptions!$B$24,IF(1&lt;=24,Assumptions!$B$25,Assumptions!$B$26))</f>
        <v>1260000</v>
      </c>
      <c r="C10" s="34" t="n">
        <f aca="false">C4*IF(2&lt;=12,Assumptions!$B$24,IF(2&lt;=24,Assumptions!$B$25,Assumptions!$B$26))</f>
        <v>1575000</v>
      </c>
      <c r="D10" s="34" t="n">
        <f aca="false">D4*IF(3&lt;=12,Assumptions!$B$24,IF(3&lt;=24,Assumptions!$B$25,Assumptions!$B$26))</f>
        <v>1968750</v>
      </c>
      <c r="E10" s="34" t="n">
        <f aca="false">E4*IF(4&lt;=12,Assumptions!$B$24,IF(4&lt;=24,Assumptions!$B$25,Assumptions!$B$26))</f>
        <v>2460937.5</v>
      </c>
      <c r="F10" s="34" t="n">
        <f aca="false">F4*IF(5&lt;=12,Assumptions!$B$24,IF(5&lt;=24,Assumptions!$B$25,Assumptions!$B$26))</f>
        <v>3076171.875</v>
      </c>
      <c r="G10" s="34" t="n">
        <f aca="false">G4*IF(6&lt;=12,Assumptions!$B$24,IF(6&lt;=24,Assumptions!$B$25,Assumptions!$B$26))</f>
        <v>3845214.84375</v>
      </c>
      <c r="H10" s="34" t="n">
        <f aca="false">H4*IF(7&lt;=12,Assumptions!$B$24,IF(7&lt;=24,Assumptions!$B$25,Assumptions!$B$26))</f>
        <v>4537353.515625</v>
      </c>
      <c r="I10" s="34" t="n">
        <f aca="false">I4*IF(8&lt;=12,Assumptions!$B$24,IF(8&lt;=24,Assumptions!$B$25,Assumptions!$B$26))</f>
        <v>5354077.1484375</v>
      </c>
      <c r="J10" s="34" t="n">
        <f aca="false">J4*IF(9&lt;=12,Assumptions!$B$24,IF(9&lt;=24,Assumptions!$B$25,Assumptions!$B$26))</f>
        <v>6317811.03515625</v>
      </c>
      <c r="K10" s="34" t="n">
        <f aca="false">K4*IF(10&lt;=12,Assumptions!$B$24,IF(10&lt;=24,Assumptions!$B$25,Assumptions!$B$26))</f>
        <v>7455017.02148438</v>
      </c>
      <c r="L10" s="34" t="n">
        <f aca="false">L4*IF(11&lt;=12,Assumptions!$B$24,IF(11&lt;=24,Assumptions!$B$25,Assumptions!$B$26))</f>
        <v>8796920.08535156</v>
      </c>
      <c r="M10" s="34" t="n">
        <f aca="false">M4*IF(12&lt;=12,Assumptions!$B$24,IF(12&lt;=24,Assumptions!$B$25,Assumptions!$B$26))</f>
        <v>10380365.7007148</v>
      </c>
      <c r="N10" s="34" t="n">
        <f aca="false">N4*IF(13&lt;=12,Assumptions!$B$24,IF(13&lt;=24,Assumptions!$B$25,Assumptions!$B$26))</f>
        <v>7750673.05653375</v>
      </c>
      <c r="O10" s="34" t="n">
        <f aca="false">O4*IF(14&lt;=12,Assumptions!$B$24,IF(14&lt;=24,Assumptions!$B$25,Assumptions!$B$26))</f>
        <v>8680753.8233178</v>
      </c>
      <c r="P10" s="34" t="n">
        <f aca="false">P4*IF(15&lt;=12,Assumptions!$B$24,IF(15&lt;=24,Assumptions!$B$25,Assumptions!$B$26))</f>
        <v>9722444.28211594</v>
      </c>
      <c r="Q10" s="34" t="n">
        <f aca="false">Q4*IF(16&lt;=12,Assumptions!$B$24,IF(16&lt;=24,Assumptions!$B$25,Assumptions!$B$26))</f>
        <v>10889137.5959699</v>
      </c>
      <c r="R10" s="34" t="n">
        <f aca="false">R4*IF(17&lt;=12,Assumptions!$B$24,IF(17&lt;=24,Assumptions!$B$25,Assumptions!$B$26))</f>
        <v>12195834.1074862</v>
      </c>
      <c r="S10" s="34" t="n">
        <f aca="false">S4*IF(18&lt;=12,Assumptions!$B$24,IF(18&lt;=24,Assumptions!$B$25,Assumptions!$B$26))</f>
        <v>13659334.2003846</v>
      </c>
      <c r="T10" s="34" t="n">
        <f aca="false">T4*IF(19&lt;=12,Assumptions!$B$24,IF(19&lt;=24,Assumptions!$B$25,Assumptions!$B$26))</f>
        <v>15298454.3044307</v>
      </c>
      <c r="U10" s="34" t="n">
        <f aca="false">U4*IF(20&lt;=12,Assumptions!$B$24,IF(20&lt;=24,Assumptions!$B$25,Assumptions!$B$26))</f>
        <v>17134268.8209624</v>
      </c>
      <c r="V10" s="34" t="n">
        <f aca="false">V4*IF(21&lt;=12,Assumptions!$B$24,IF(21&lt;=24,Assumptions!$B$25,Assumptions!$B$26))</f>
        <v>19190381.0794779</v>
      </c>
      <c r="W10" s="34" t="n">
        <f aca="false">W4*IF(22&lt;=12,Assumptions!$B$24,IF(22&lt;=24,Assumptions!$B$25,Assumptions!$B$26))</f>
        <v>21493226.8090153</v>
      </c>
      <c r="X10" s="34" t="n">
        <f aca="false">X4*IF(23&lt;=12,Assumptions!$B$24,IF(23&lt;=24,Assumptions!$B$25,Assumptions!$B$26))</f>
        <v>24072414.0260971</v>
      </c>
      <c r="Y10" s="34" t="n">
        <f aca="false">Y4*IF(24&lt;=12,Assumptions!$B$24,IF(24&lt;=24,Assumptions!$B$25,Assumptions!$B$26))</f>
        <v>26961103.7092288</v>
      </c>
      <c r="Z10" s="34" t="n">
        <f aca="false">Z4*IF(25&lt;=12,Assumptions!$B$24,IF(25&lt;=24,Assumptions!$B$25,Assumptions!$B$26))</f>
        <v>21434077.4488369</v>
      </c>
      <c r="AA10" s="34" t="n">
        <f aca="false">AA4*IF(26&lt;=12,Assumptions!$B$24,IF(26&lt;=24,Assumptions!$B$25,Assumptions!$B$26))</f>
        <v>22720122.0957671</v>
      </c>
      <c r="AB10" s="34" t="n">
        <f aca="false">AB4*IF(27&lt;=12,Assumptions!$B$24,IF(27&lt;=24,Assumptions!$B$25,Assumptions!$B$26))</f>
        <v>24083329.4215131</v>
      </c>
      <c r="AC10" s="34" t="n">
        <f aca="false">AC4*IF(28&lt;=12,Assumptions!$B$24,IF(28&lt;=24,Assumptions!$B$25,Assumptions!$B$26))</f>
        <v>25528329.1868039</v>
      </c>
      <c r="AD10" s="34" t="n">
        <f aca="false">AD4*IF(29&lt;=12,Assumptions!$B$24,IF(29&lt;=24,Assumptions!$B$25,Assumptions!$B$26))</f>
        <v>27060028.9380121</v>
      </c>
      <c r="AE10" s="34" t="n">
        <f aca="false">AE4*IF(30&lt;=12,Assumptions!$B$24,IF(30&lt;=24,Assumptions!$B$25,Assumptions!$B$26))</f>
        <v>28683630.6742929</v>
      </c>
      <c r="AF10" s="34" t="n">
        <f aca="false">AF4*IF(31&lt;=12,Assumptions!$B$24,IF(31&lt;=24,Assumptions!$B$25,Assumptions!$B$26))</f>
        <v>30404648.5147504</v>
      </c>
      <c r="AG10" s="34" t="n">
        <f aca="false">AG4*IF(32&lt;=12,Assumptions!$B$24,IF(32&lt;=24,Assumptions!$B$25,Assumptions!$B$26))</f>
        <v>32228927.4256355</v>
      </c>
      <c r="AH10" s="34" t="n">
        <f aca="false">AH4*IF(33&lt;=12,Assumptions!$B$24,IF(33&lt;=24,Assumptions!$B$25,Assumptions!$B$26))</f>
        <v>34162663.0711736</v>
      </c>
      <c r="AI10" s="34" t="n">
        <f aca="false">AI4*IF(34&lt;=12,Assumptions!$B$24,IF(34&lt;=24,Assumptions!$B$25,Assumptions!$B$26))</f>
        <v>36212422.855444</v>
      </c>
      <c r="AJ10" s="34" t="n">
        <f aca="false">AJ4*IF(35&lt;=12,Assumptions!$B$24,IF(35&lt;=24,Assumptions!$B$25,Assumptions!$B$26))</f>
        <v>38385168.2267706</v>
      </c>
      <c r="AK10" s="34" t="n">
        <f aca="false">AK4*IF(36&lt;=12,Assumptions!$B$24,IF(36&lt;=24,Assumptions!$B$25,Assumptions!$B$26))</f>
        <v>40688278.3203769</v>
      </c>
      <c r="AL10" s="43" t="n">
        <f aca="false">SUM(B10:M10)</f>
        <v>57027618.7255195</v>
      </c>
      <c r="AM10" s="43" t="n">
        <f aca="false">SUM(N10:Y10)</f>
        <v>187048025.81502</v>
      </c>
      <c r="AN10" s="43" t="n">
        <f aca="false">SUM(Z10:AK10)</f>
        <v>361591626.179377</v>
      </c>
    </row>
    <row r="11" customFormat="false" ht="15" hidden="false" customHeight="true" outlineLevel="0" collapsed="false">
      <c r="A11" s="1" t="s">
        <v>254</v>
      </c>
      <c r="B11" s="34" t="n">
        <f aca="false">B4*Assumptions!$B$11</f>
        <v>420000</v>
      </c>
      <c r="C11" s="34" t="n">
        <f aca="false">C4*Assumptions!$B$11</f>
        <v>525000</v>
      </c>
      <c r="D11" s="34" t="n">
        <f aca="false">D4*Assumptions!$B$11</f>
        <v>656250</v>
      </c>
      <c r="E11" s="34" t="n">
        <f aca="false">E4*Assumptions!$B$11</f>
        <v>820312.5</v>
      </c>
      <c r="F11" s="34" t="n">
        <f aca="false">F4*Assumptions!$B$11</f>
        <v>1025390.625</v>
      </c>
      <c r="G11" s="34" t="n">
        <f aca="false">G4*Assumptions!$B$11</f>
        <v>1281738.28125</v>
      </c>
      <c r="H11" s="34" t="n">
        <f aca="false">H4*Assumptions!$B$11</f>
        <v>1512451.171875</v>
      </c>
      <c r="I11" s="34" t="n">
        <f aca="false">I4*Assumptions!$B$11</f>
        <v>1784692.3828125</v>
      </c>
      <c r="J11" s="34" t="n">
        <f aca="false">J4*Assumptions!$B$11</f>
        <v>2105937.01171875</v>
      </c>
      <c r="K11" s="34" t="n">
        <f aca="false">K4*Assumptions!$B$11</f>
        <v>2485005.67382813</v>
      </c>
      <c r="L11" s="34" t="n">
        <f aca="false">L4*Assumptions!$B$11</f>
        <v>2932306.69511719</v>
      </c>
      <c r="M11" s="34" t="n">
        <f aca="false">M4*Assumptions!$B$11</f>
        <v>3460121.90023828</v>
      </c>
      <c r="N11" s="34" t="n">
        <f aca="false">N4*Assumptions!$B$11</f>
        <v>3875336.52826688</v>
      </c>
      <c r="O11" s="34" t="n">
        <f aca="false">O4*Assumptions!$B$11</f>
        <v>4340376.9116589</v>
      </c>
      <c r="P11" s="34" t="n">
        <f aca="false">P4*Assumptions!$B$11</f>
        <v>4861222.14105797</v>
      </c>
      <c r="Q11" s="34" t="n">
        <f aca="false">Q4*Assumptions!$B$11</f>
        <v>5444568.79798493</v>
      </c>
      <c r="R11" s="34" t="n">
        <f aca="false">R4*Assumptions!$B$11</f>
        <v>6097917.05374312</v>
      </c>
      <c r="S11" s="34" t="n">
        <f aca="false">S4*Assumptions!$B$11</f>
        <v>6829667.10019229</v>
      </c>
      <c r="T11" s="34" t="n">
        <f aca="false">T4*Assumptions!$B$11</f>
        <v>7649227.15221537</v>
      </c>
      <c r="U11" s="34" t="n">
        <f aca="false">U4*Assumptions!$B$11</f>
        <v>8567134.41048121</v>
      </c>
      <c r="V11" s="34" t="n">
        <f aca="false">V4*Assumptions!$B$11</f>
        <v>9595190.53973896</v>
      </c>
      <c r="W11" s="34" t="n">
        <f aca="false">W4*Assumptions!$B$11</f>
        <v>10746613.4045076</v>
      </c>
      <c r="X11" s="34" t="n">
        <f aca="false">X4*Assumptions!$B$11</f>
        <v>12036207.0130486</v>
      </c>
      <c r="Y11" s="34" t="n">
        <f aca="false">Y4*Assumptions!$B$11</f>
        <v>13480551.8546144</v>
      </c>
      <c r="Z11" s="34" t="n">
        <f aca="false">Z4*Assumptions!$B$11</f>
        <v>14289384.9658912</v>
      </c>
      <c r="AA11" s="34" t="n">
        <f aca="false">AA4*Assumptions!$B$11</f>
        <v>15146748.0638447</v>
      </c>
      <c r="AB11" s="34" t="n">
        <f aca="false">AB4*Assumptions!$B$11</f>
        <v>16055552.9476754</v>
      </c>
      <c r="AC11" s="34" t="n">
        <f aca="false">AC4*Assumptions!$B$11</f>
        <v>17018886.1245359</v>
      </c>
      <c r="AD11" s="34" t="n">
        <f aca="false">AD4*Assumptions!$B$11</f>
        <v>18040019.2920081</v>
      </c>
      <c r="AE11" s="34" t="n">
        <f aca="false">AE4*Assumptions!$B$11</f>
        <v>19122420.4495286</v>
      </c>
      <c r="AF11" s="34" t="n">
        <f aca="false">AF4*Assumptions!$B$11</f>
        <v>20269765.6765003</v>
      </c>
      <c r="AG11" s="34" t="n">
        <f aca="false">AG4*Assumptions!$B$11</f>
        <v>21485951.6170903</v>
      </c>
      <c r="AH11" s="34" t="n">
        <f aca="false">AH4*Assumptions!$B$11</f>
        <v>22775108.7141157</v>
      </c>
      <c r="AI11" s="34" t="n">
        <f aca="false">AI4*Assumptions!$B$11</f>
        <v>24141615.2369627</v>
      </c>
      <c r="AJ11" s="34" t="n">
        <f aca="false">AJ4*Assumptions!$B$11</f>
        <v>25590112.1511804</v>
      </c>
      <c r="AK11" s="34" t="n">
        <f aca="false">AK4*Assumptions!$B$11</f>
        <v>27125518.8802513</v>
      </c>
      <c r="AL11" s="43" t="n">
        <f aca="false">SUM(B11:M11)</f>
        <v>19009206.2418398</v>
      </c>
      <c r="AM11" s="43" t="n">
        <f aca="false">SUM(N11:Y11)</f>
        <v>93524012.9075102</v>
      </c>
      <c r="AN11" s="43" t="n">
        <f aca="false">SUM(Z11:AK11)</f>
        <v>241061084.119585</v>
      </c>
    </row>
    <row r="12" customFormat="false" ht="15" hidden="false" customHeight="true" outlineLevel="0" collapsed="false">
      <c r="A12" s="1" t="s">
        <v>149</v>
      </c>
      <c r="B12" s="34" t="n">
        <f aca="false">Revenue!C4*Assumptions!$B$12</f>
        <v>1050000</v>
      </c>
      <c r="C12" s="34" t="n">
        <f aca="false">Revenue!C5*Assumptions!$B$12</f>
        <v>1312500</v>
      </c>
      <c r="D12" s="34" t="n">
        <f aca="false">Revenue!C6*Assumptions!$B$12</f>
        <v>1640625</v>
      </c>
      <c r="E12" s="34" t="n">
        <f aca="false">Revenue!C7*Assumptions!$B$12</f>
        <v>2050781.25</v>
      </c>
      <c r="F12" s="34" t="n">
        <f aca="false">Revenue!C8*Assumptions!$B$12</f>
        <v>2563476.5625</v>
      </c>
      <c r="G12" s="34" t="n">
        <f aca="false">Revenue!C9*Assumptions!$B$12</f>
        <v>3204345.703125</v>
      </c>
      <c r="H12" s="34" t="n">
        <f aca="false">Revenue!C10*Assumptions!$B$12</f>
        <v>3781127.9296875</v>
      </c>
      <c r="I12" s="34" t="n">
        <f aca="false">Revenue!C11*Assumptions!$B$12</f>
        <v>4461730.95703125</v>
      </c>
      <c r="J12" s="34" t="n">
        <f aca="false">Revenue!C12*Assumptions!$B$12</f>
        <v>5264842.52929688</v>
      </c>
      <c r="K12" s="34" t="n">
        <f aca="false">Revenue!C13*Assumptions!$B$12</f>
        <v>6212514.18457031</v>
      </c>
      <c r="L12" s="34" t="n">
        <f aca="false">Revenue!C14*Assumptions!$B$12</f>
        <v>7330766.73779297</v>
      </c>
      <c r="M12" s="34" t="n">
        <f aca="false">Revenue!C15*Assumptions!$B$12</f>
        <v>8650304.7505957</v>
      </c>
      <c r="N12" s="34" t="n">
        <f aca="false">Revenue!C16*Assumptions!$B$12</f>
        <v>9688341.32066719</v>
      </c>
      <c r="O12" s="34" t="n">
        <f aca="false">Revenue!C17*Assumptions!$B$12</f>
        <v>10850942.2791473</v>
      </c>
      <c r="P12" s="34" t="n">
        <f aca="false">Revenue!C18*Assumptions!$B$12</f>
        <v>12153055.3526449</v>
      </c>
      <c r="Q12" s="34" t="n">
        <f aca="false">Revenue!C19*Assumptions!$B$12</f>
        <v>13611421.9949623</v>
      </c>
      <c r="R12" s="34" t="n">
        <f aca="false">Revenue!C20*Assumptions!$B$12</f>
        <v>15244792.6343578</v>
      </c>
      <c r="S12" s="34" t="n">
        <f aca="false">Revenue!C21*Assumptions!$B$12</f>
        <v>17074167.7504807</v>
      </c>
      <c r="T12" s="34" t="n">
        <f aca="false">Revenue!C22*Assumptions!$B$12</f>
        <v>19123067.8805384</v>
      </c>
      <c r="U12" s="34" t="n">
        <f aca="false">Revenue!C23*Assumptions!$B$12</f>
        <v>21417836.026203</v>
      </c>
      <c r="V12" s="34" t="n">
        <f aca="false">Revenue!C24*Assumptions!$B$12</f>
        <v>23987976.3493474</v>
      </c>
      <c r="W12" s="34" t="n">
        <f aca="false">Revenue!C25*Assumptions!$B$12</f>
        <v>26866533.5112691</v>
      </c>
      <c r="X12" s="34" t="n">
        <f aca="false">Revenue!C26*Assumptions!$B$12</f>
        <v>30090517.5326214</v>
      </c>
      <c r="Y12" s="34" t="n">
        <f aca="false">Revenue!C27*Assumptions!$B$12</f>
        <v>33701379.636536</v>
      </c>
      <c r="Z12" s="34" t="n">
        <f aca="false">Revenue!C28*Assumptions!$B$12</f>
        <v>35723462.4147281</v>
      </c>
      <c r="AA12" s="34" t="n">
        <f aca="false">Revenue!C29*Assumptions!$B$12</f>
        <v>37866870.1596118</v>
      </c>
      <c r="AB12" s="34" t="n">
        <f aca="false">Revenue!C30*Assumptions!$B$12</f>
        <v>40138882.3691885</v>
      </c>
      <c r="AC12" s="34" t="n">
        <f aca="false">Revenue!C31*Assumptions!$B$12</f>
        <v>42547215.3113398</v>
      </c>
      <c r="AD12" s="34" t="n">
        <f aca="false">Revenue!C32*Assumptions!$B$12</f>
        <v>45100048.2300202</v>
      </c>
      <c r="AE12" s="34" t="n">
        <f aca="false">Revenue!C33*Assumptions!$B$12</f>
        <v>47806051.1238214</v>
      </c>
      <c r="AF12" s="34" t="n">
        <f aca="false">Revenue!C34*Assumptions!$B$12</f>
        <v>50674414.1912507</v>
      </c>
      <c r="AG12" s="34" t="n">
        <f aca="false">Revenue!C35*Assumptions!$B$12</f>
        <v>53714879.0427258</v>
      </c>
      <c r="AH12" s="34" t="n">
        <f aca="false">Revenue!C36*Assumptions!$B$12</f>
        <v>56937771.7852893</v>
      </c>
      <c r="AI12" s="34" t="n">
        <f aca="false">Revenue!C37*Assumptions!$B$12</f>
        <v>60354038.0924067</v>
      </c>
      <c r="AJ12" s="34" t="n">
        <f aca="false">Revenue!C38*Assumptions!$B$12</f>
        <v>63975280.3779511</v>
      </c>
      <c r="AK12" s="34" t="n">
        <f aca="false">Revenue!C39*Assumptions!$B$12</f>
        <v>67813797.2006282</v>
      </c>
      <c r="AL12" s="43" t="n">
        <f aca="false">SUM(B12:M12)</f>
        <v>47523015.6045996</v>
      </c>
      <c r="AM12" s="43" t="n">
        <f aca="false">SUM(N12:Y12)</f>
        <v>233810032.268776</v>
      </c>
      <c r="AN12" s="43" t="n">
        <f aca="false">SUM(Z12:AK12)</f>
        <v>602652710.298962</v>
      </c>
    </row>
    <row r="13" customFormat="false" ht="15" hidden="false" customHeight="true" outlineLevel="0" collapsed="false">
      <c r="A13" s="27" t="s">
        <v>255</v>
      </c>
      <c r="B13" s="45" t="n">
        <f aca="false">SUM(B8:B12)</f>
        <v>37730000</v>
      </c>
      <c r="C13" s="45" t="n">
        <f aca="false">SUM(C8:C12)</f>
        <v>38412500</v>
      </c>
      <c r="D13" s="45" t="n">
        <f aca="false">SUM(D8:D12)</f>
        <v>39265625</v>
      </c>
      <c r="E13" s="45" t="n">
        <f aca="false">SUM(E8:E12)</f>
        <v>40332031.25</v>
      </c>
      <c r="F13" s="45" t="n">
        <f aca="false">SUM(F8:F12)</f>
        <v>41665039.0625</v>
      </c>
      <c r="G13" s="45" t="n">
        <f aca="false">SUM(G8:G12)</f>
        <v>43331298.828125</v>
      </c>
      <c r="H13" s="45" t="n">
        <f aca="false">SUM(H8:H12)</f>
        <v>54830932.6171875</v>
      </c>
      <c r="I13" s="45" t="n">
        <f aca="false">SUM(I8:I12)</f>
        <v>56600500.4882813</v>
      </c>
      <c r="J13" s="45" t="n">
        <f aca="false">SUM(J8:J12)</f>
        <v>58688590.5761719</v>
      </c>
      <c r="K13" s="45" t="n">
        <f aca="false">SUM(K8:K12)</f>
        <v>61152536.8798828</v>
      </c>
      <c r="L13" s="45" t="n">
        <f aca="false">SUM(L8:L12)</f>
        <v>64059993.5182617</v>
      </c>
      <c r="M13" s="45" t="n">
        <f aca="false">SUM(M8:M12)</f>
        <v>67490792.3515488</v>
      </c>
      <c r="N13" s="45" t="n">
        <f aca="false">SUM(N8:N12)</f>
        <v>76314350.9054678</v>
      </c>
      <c r="O13" s="45" t="n">
        <f aca="false">SUM(O8:O12)</f>
        <v>78872073.014124</v>
      </c>
      <c r="P13" s="45" t="n">
        <f aca="false">SUM(P8:P12)</f>
        <v>81736721.7758188</v>
      </c>
      <c r="Q13" s="45" t="n">
        <f aca="false">SUM(Q8:Q12)</f>
        <v>84945128.3889171</v>
      </c>
      <c r="R13" s="45" t="n">
        <f aca="false">SUM(R8:R12)</f>
        <v>88538543.7955872</v>
      </c>
      <c r="S13" s="45" t="n">
        <f aca="false">SUM(S8:S12)</f>
        <v>92563169.0510576</v>
      </c>
      <c r="T13" s="45" t="n">
        <f aca="false">SUM(T8:T12)</f>
        <v>97070749.3371845</v>
      </c>
      <c r="U13" s="45" t="n">
        <f aca="false">SUM(U8:U12)</f>
        <v>102119239.257647</v>
      </c>
      <c r="V13" s="45" t="n">
        <f aca="false">SUM(V8:V12)</f>
        <v>107773547.968564</v>
      </c>
      <c r="W13" s="45" t="n">
        <f aca="false">SUM(W8:W12)</f>
        <v>114106373.724792</v>
      </c>
      <c r="X13" s="45" t="n">
        <f aca="false">SUM(X8:X12)</f>
        <v>121199138.571767</v>
      </c>
      <c r="Y13" s="45" t="n">
        <f aca="false">SUM(Y8:Y12)</f>
        <v>129143035.200379</v>
      </c>
      <c r="Z13" s="45" t="n">
        <f aca="false">SUM(Z8:Z12)</f>
        <v>146446924.829456</v>
      </c>
      <c r="AA13" s="45" t="n">
        <f aca="false">SUM(AA8:AA12)</f>
        <v>150733740.319224</v>
      </c>
      <c r="AB13" s="45" t="n">
        <f aca="false">SUM(AB8:AB12)</f>
        <v>155277764.738377</v>
      </c>
      <c r="AC13" s="45" t="n">
        <f aca="false">SUM(AC8:AC12)</f>
        <v>160094430.62268</v>
      </c>
      <c r="AD13" s="45" t="n">
        <f aca="false">SUM(AD8:AD12)</f>
        <v>165200096.46004</v>
      </c>
      <c r="AE13" s="45" t="n">
        <f aca="false">SUM(AE8:AE12)</f>
        <v>170612102.247643</v>
      </c>
      <c r="AF13" s="45" t="n">
        <f aca="false">SUM(AF8:AF12)</f>
        <v>176348828.382501</v>
      </c>
      <c r="AG13" s="45" t="n">
        <f aca="false">SUM(AG8:AG12)</f>
        <v>182429758.085452</v>
      </c>
      <c r="AH13" s="45" t="n">
        <f aca="false">SUM(AH8:AH12)</f>
        <v>188875543.570579</v>
      </c>
      <c r="AI13" s="45" t="n">
        <f aca="false">SUM(AI8:AI12)</f>
        <v>195708076.184813</v>
      </c>
      <c r="AJ13" s="45" t="n">
        <f aca="false">SUM(AJ8:AJ12)</f>
        <v>202950560.755902</v>
      </c>
      <c r="AK13" s="45" t="n">
        <f aca="false">SUM(AK8:AK12)</f>
        <v>210627594.401256</v>
      </c>
      <c r="AL13" s="42" t="n">
        <f aca="false">SUM(B13:M13)</f>
        <v>603559840.571959</v>
      </c>
      <c r="AM13" s="42" t="n">
        <f aca="false">SUM(N13:Y13)</f>
        <v>1174382070.99131</v>
      </c>
      <c r="AN13" s="42" t="n">
        <f aca="false">SUM(Z13:AK13)</f>
        <v>2105305420.59792</v>
      </c>
    </row>
    <row r="14" customFormat="false" ht="15" hidden="false" customHeight="true" outlineLevel="0" collapsed="false">
      <c r="A14" s="27" t="s">
        <v>256</v>
      </c>
      <c r="B14" s="46" t="n">
        <f aca="false">B6-B13</f>
        <v>-34580000</v>
      </c>
      <c r="C14" s="46" t="n">
        <f aca="false">C6-C13</f>
        <v>-34475000</v>
      </c>
      <c r="D14" s="46" t="n">
        <f aca="false">D6-D13</f>
        <v>-34343750</v>
      </c>
      <c r="E14" s="46" t="n">
        <f aca="false">E6-E13</f>
        <v>-34179687.5</v>
      </c>
      <c r="F14" s="46" t="n">
        <f aca="false">F6-F13</f>
        <v>-33974609.375</v>
      </c>
      <c r="G14" s="46" t="n">
        <f aca="false">G6-G13</f>
        <v>-33718261.71875</v>
      </c>
      <c r="H14" s="46" t="n">
        <f aca="false">H6-H13</f>
        <v>-43487548.828125</v>
      </c>
      <c r="I14" s="46" t="n">
        <f aca="false">I6-I13</f>
        <v>-43215307.6171875</v>
      </c>
      <c r="J14" s="46" t="n">
        <f aca="false">J6-J13</f>
        <v>-42894062.9882813</v>
      </c>
      <c r="K14" s="46" t="n">
        <f aca="false">K6-K13</f>
        <v>-42514994.3261719</v>
      </c>
      <c r="L14" s="46" t="n">
        <f aca="false">L6-L13</f>
        <v>-42067693.3048828</v>
      </c>
      <c r="M14" s="46" t="n">
        <f aca="false">M6-M13</f>
        <v>-41539878.0997617</v>
      </c>
      <c r="N14" s="46" t="n">
        <f aca="false">N6-N13</f>
        <v>-47249326.9434662</v>
      </c>
      <c r="O14" s="46" t="n">
        <f aca="false">O6-O13</f>
        <v>-46319246.1766822</v>
      </c>
      <c r="P14" s="46" t="n">
        <f aca="false">P6-P13</f>
        <v>-45277555.7178841</v>
      </c>
      <c r="Q14" s="46" t="n">
        <f aca="false">Q6-Q13</f>
        <v>-44110862.4040301</v>
      </c>
      <c r="R14" s="46" t="n">
        <f aca="false">R6-R13</f>
        <v>-42804165.8925138</v>
      </c>
      <c r="S14" s="46" t="n">
        <f aca="false">S6-S13</f>
        <v>-41340665.7996154</v>
      </c>
      <c r="T14" s="46" t="n">
        <f aca="false">T6-T13</f>
        <v>-39701545.6955693</v>
      </c>
      <c r="U14" s="46" t="n">
        <f aca="false">U6-U13</f>
        <v>-37865731.1790376</v>
      </c>
      <c r="V14" s="46" t="n">
        <f aca="false">V6-V13</f>
        <v>-35809618.9205221</v>
      </c>
      <c r="W14" s="46" t="n">
        <f aca="false">W6-W13</f>
        <v>-33506773.1909847</v>
      </c>
      <c r="X14" s="46" t="n">
        <f aca="false">X6-X13</f>
        <v>-30927585.9739029</v>
      </c>
      <c r="Y14" s="46" t="n">
        <f aca="false">Y6-Y13</f>
        <v>-28038896.2907712</v>
      </c>
      <c r="Z14" s="46" t="n">
        <f aca="false">Z6-Z13</f>
        <v>-39276537.5852719</v>
      </c>
      <c r="AA14" s="46" t="n">
        <f aca="false">AA6-AA13</f>
        <v>-37133129.8403882</v>
      </c>
      <c r="AB14" s="46" t="n">
        <f aca="false">AB6-AB13</f>
        <v>-34861117.6308115</v>
      </c>
      <c r="AC14" s="46" t="n">
        <f aca="false">AC6-AC13</f>
        <v>-32452784.6886601</v>
      </c>
      <c r="AD14" s="46" t="n">
        <f aca="false">AD6-AD13</f>
        <v>-29899951.7699798</v>
      </c>
      <c r="AE14" s="46" t="n">
        <f aca="false">AE6-AE13</f>
        <v>-27193948.8761786</v>
      </c>
      <c r="AF14" s="46" t="n">
        <f aca="false">AF6-AF13</f>
        <v>-24325585.8087493</v>
      </c>
      <c r="AG14" s="46" t="n">
        <f aca="false">AG6-AG13</f>
        <v>-21285120.9572742</v>
      </c>
      <c r="AH14" s="46" t="n">
        <f aca="false">AH6-AH13</f>
        <v>-18062228.2147107</v>
      </c>
      <c r="AI14" s="46" t="n">
        <f aca="false">AI6-AI13</f>
        <v>-14645961.9075933</v>
      </c>
      <c r="AJ14" s="46" t="n">
        <f aca="false">AJ6-AJ13</f>
        <v>-11024719.6220489</v>
      </c>
      <c r="AK14" s="46" t="n">
        <f aca="false">AK6-AK13</f>
        <v>-7186202.79937187</v>
      </c>
      <c r="AL14" s="47" t="n">
        <f aca="false">AL6-AL13</f>
        <v>-460990793.75816</v>
      </c>
      <c r="AM14" s="47" t="n">
        <f aca="false">AM6-AM13</f>
        <v>-472951974.18498</v>
      </c>
      <c r="AN14" s="47" t="n">
        <f aca="false">AN6-AN13</f>
        <v>-297347289.701038</v>
      </c>
    </row>
    <row r="15" customFormat="false" ht="15" hidden="false" customHeight="true" outlineLevel="0" collapsed="false">
      <c r="A15" s="27" t="s">
        <v>257</v>
      </c>
      <c r="B15" s="48" t="n">
        <f aca="false">IF(B4=0,0,B14/B4)</f>
        <v>-3.29333333333333</v>
      </c>
      <c r="C15" s="48" t="n">
        <f aca="false">IF(C4=0,0,C14/C4)</f>
        <v>-2.62666666666667</v>
      </c>
      <c r="D15" s="48" t="n">
        <f aca="false">IF(D4=0,0,D14/D4)</f>
        <v>-2.09333333333333</v>
      </c>
      <c r="E15" s="48" t="n">
        <f aca="false">IF(E4=0,0,E14/E4)</f>
        <v>-1.66666666666667</v>
      </c>
      <c r="F15" s="48" t="n">
        <f aca="false">IF(F4=0,0,F14/F4)</f>
        <v>-1.32533333333333</v>
      </c>
      <c r="G15" s="48" t="n">
        <f aca="false">IF(G4=0,0,G14/G4)</f>
        <v>-1.05226666666667</v>
      </c>
      <c r="H15" s="48" t="n">
        <f aca="false">IF(H4=0,0,H14/H4)</f>
        <v>-1.1501210653753</v>
      </c>
      <c r="I15" s="48" t="n">
        <f aca="false">IF(I4=0,0,I14/I4)</f>
        <v>-0.968577174046867</v>
      </c>
      <c r="J15" s="48" t="n">
        <f aca="false">IF(J4=0,0,J14/J4)</f>
        <v>-0.814726418683785</v>
      </c>
      <c r="K15" s="48" t="n">
        <f aca="false">IF(K4=0,0,K14/K4)</f>
        <v>-0.684344422613377</v>
      </c>
      <c r="L15" s="48" t="n">
        <f aca="false">IF(L4=0,0,L14/L4)</f>
        <v>-0.573851205604557</v>
      </c>
      <c r="M15" s="48" t="n">
        <f aca="false">IF(M4=0,0,M14/M4)</f>
        <v>-0.480212886105557</v>
      </c>
      <c r="N15" s="48" t="n">
        <f aca="false">IF(N4=0,0,N14/N4)</f>
        <v>-0.487692633646937</v>
      </c>
      <c r="O15" s="48" t="n">
        <f aca="false">IF(O4=0,0,O14/O4)</f>
        <v>-0.426868422899051</v>
      </c>
      <c r="P15" s="48" t="n">
        <f aca="false">IF(P4=0,0,P14/P4)</f>
        <v>-0.372561091874152</v>
      </c>
      <c r="Q15" s="48" t="n">
        <f aca="false">IF(Q4=0,0,Q14/Q4)</f>
        <v>-0.324072403459065</v>
      </c>
      <c r="R15" s="48" t="n">
        <f aca="false">IF(R4=0,0,R14/R4)</f>
        <v>-0.280778931659879</v>
      </c>
      <c r="S15" s="48" t="n">
        <f aca="false">IF(S4=0,0,S14/S4)</f>
        <v>-0.242124046124892</v>
      </c>
      <c r="T15" s="48" t="n">
        <f aca="false">IF(T4=0,0,T14/T4)</f>
        <v>-0.207610755468654</v>
      </c>
      <c r="U15" s="48" t="n">
        <f aca="false">IF(U4=0,0,U14/U4)</f>
        <v>-0.176795317382726</v>
      </c>
      <c r="V15" s="48" t="n">
        <f aca="false">IF(V4=0,0,V14/V4)</f>
        <v>-0.149281533377434</v>
      </c>
      <c r="W15" s="48" t="n">
        <f aca="false">IF(W4=0,0,W14/W4)</f>
        <v>-0.124715654801281</v>
      </c>
      <c r="X15" s="48" t="n">
        <f aca="false">IF(X4=0,0,X14/X4)</f>
        <v>-0.102781834644001</v>
      </c>
      <c r="Y15" s="48" t="n">
        <f aca="false">IF(Y4=0,0,Y14/Y4)</f>
        <v>-0.083198066646429</v>
      </c>
      <c r="Z15" s="48" t="n">
        <f aca="false">IF(Z4=0,0,Z14/Z4)</f>
        <v>-0.109946054862473</v>
      </c>
      <c r="AA15" s="48" t="n">
        <f aca="false">IF(AA4=0,0,AA14/AA4)</f>
        <v>-0.0980623159079933</v>
      </c>
      <c r="AB15" s="48" t="n">
        <f aca="false">IF(AB4=0,0,AB14/AB4)</f>
        <v>-0.0868512414226352</v>
      </c>
      <c r="AC15" s="48" t="n">
        <f aca="false">IF(AC4=0,0,AC14/AC4)</f>
        <v>-0.0762747560590898</v>
      </c>
      <c r="AD15" s="48" t="n">
        <f aca="false">IF(AD4=0,0,AD14/AD4)</f>
        <v>-0.0662969396783867</v>
      </c>
      <c r="AE15" s="48" t="n">
        <f aca="false">IF(AE4=0,0,AE14/AE4)</f>
        <v>-0.0568839053569686</v>
      </c>
      <c r="AF15" s="48" t="n">
        <f aca="false">IF(AF4=0,0,AF14/AF4)</f>
        <v>-0.0480036842990269</v>
      </c>
      <c r="AG15" s="48" t="n">
        <f aca="false">IF(AG4=0,0,AG14/AG4)</f>
        <v>-0.0396261172632329</v>
      </c>
      <c r="AH15" s="48" t="n">
        <f aca="false">IF(AH4=0,0,AH14/AH4)</f>
        <v>-0.0317227521351254</v>
      </c>
      <c r="AI15" s="48" t="n">
        <f aca="false">IF(AI4=0,0,AI14/AI4)</f>
        <v>-0.0242667472972881</v>
      </c>
      <c r="AJ15" s="48" t="n">
        <f aca="false">IF(AJ4=0,0,AJ14/AJ4)</f>
        <v>-0.0172327804691397</v>
      </c>
      <c r="AK15" s="48" t="n">
        <f aca="false">IF(AK4=0,0,AK14/AK4)</f>
        <v>-0.0105969627067356</v>
      </c>
      <c r="AL15" s="49" t="n">
        <f aca="false">AL14/AL4</f>
        <v>-0.970036913468813</v>
      </c>
      <c r="AM15" s="49" t="n">
        <f aca="false">AM14/AM4</f>
        <v>-0.202280445195482</v>
      </c>
      <c r="AN15" s="49" t="n">
        <f aca="false">AN14/AN4</f>
        <v>-0.0493397415492468</v>
      </c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4" min="4" style="1" width="18"/>
    <col collapsed="false" customWidth="true" hidden="false" outlineLevel="0" max="5" min="5" style="1" width="16"/>
  </cols>
  <sheetData>
    <row r="1" customFormat="false" ht="20.25" hidden="false" customHeight="true" outlineLevel="0" collapsed="false">
      <c r="A1" s="11" t="s">
        <v>258</v>
      </c>
      <c r="B1" s="11"/>
      <c r="C1" s="11"/>
      <c r="D1" s="11"/>
      <c r="E1" s="11"/>
    </row>
    <row r="3" customFormat="false" ht="15" hidden="false" customHeight="true" outlineLevel="0" collapsed="false">
      <c r="A3" s="25" t="s">
        <v>159</v>
      </c>
      <c r="B3" s="25" t="s">
        <v>160</v>
      </c>
      <c r="C3" s="25" t="s">
        <v>259</v>
      </c>
      <c r="D3" s="25" t="s">
        <v>260</v>
      </c>
      <c r="E3" s="25" t="s">
        <v>261</v>
      </c>
    </row>
    <row r="4" customFormat="false" ht="15" hidden="false" customHeight="true" outlineLevel="0" collapsed="false">
      <c r="A4" s="1" t="n">
        <v>1</v>
      </c>
      <c r="B4" s="1" t="s">
        <v>167</v>
      </c>
      <c r="C4" s="50" t="n">
        <f aca="false">IF(1&lt;=6,Assumptions!$B$29,IF(1&lt;=12,Assumptions!$B$30,IF(1&lt;=24,Assumptions!$B$31,Assumptions!$B$32)))</f>
        <v>6</v>
      </c>
      <c r="D4" s="34" t="n">
        <f aca="false">C4*Assumptions!$B$22</f>
        <v>30000000</v>
      </c>
      <c r="E4" s="34" t="n">
        <f aca="false">IF(C4=0,0,D4/C4)</f>
        <v>5000000</v>
      </c>
    </row>
    <row r="5" customFormat="false" ht="15" hidden="false" customHeight="true" outlineLevel="0" collapsed="false">
      <c r="A5" s="1" t="n">
        <v>2</v>
      </c>
      <c r="B5" s="1" t="s">
        <v>168</v>
      </c>
      <c r="C5" s="50" t="n">
        <f aca="false">IF(2&lt;=6,Assumptions!$B$29,IF(2&lt;=12,Assumptions!$B$30,IF(2&lt;=24,Assumptions!$B$31,Assumptions!$B$32)))</f>
        <v>6</v>
      </c>
      <c r="D5" s="34" t="n">
        <f aca="false">C5*Assumptions!$B$22</f>
        <v>30000000</v>
      </c>
      <c r="E5" s="34" t="n">
        <f aca="false">IF(C5=0,0,D5/C5)</f>
        <v>5000000</v>
      </c>
    </row>
    <row r="6" customFormat="false" ht="15" hidden="false" customHeight="true" outlineLevel="0" collapsed="false">
      <c r="A6" s="1" t="n">
        <v>3</v>
      </c>
      <c r="B6" s="1" t="s">
        <v>169</v>
      </c>
      <c r="C6" s="50" t="n">
        <f aca="false">IF(3&lt;=6,Assumptions!$B$29,IF(3&lt;=12,Assumptions!$B$30,IF(3&lt;=24,Assumptions!$B$31,Assumptions!$B$32)))</f>
        <v>6</v>
      </c>
      <c r="D6" s="34" t="n">
        <f aca="false">C6*Assumptions!$B$22</f>
        <v>30000000</v>
      </c>
      <c r="E6" s="34" t="n">
        <f aca="false">IF(C6=0,0,D6/C6)</f>
        <v>5000000</v>
      </c>
    </row>
    <row r="7" customFormat="false" ht="15" hidden="false" customHeight="true" outlineLevel="0" collapsed="false">
      <c r="A7" s="1" t="n">
        <v>4</v>
      </c>
      <c r="B7" s="1" t="s">
        <v>170</v>
      </c>
      <c r="C7" s="50" t="n">
        <f aca="false">IF(4&lt;=6,Assumptions!$B$29,IF(4&lt;=12,Assumptions!$B$30,IF(4&lt;=24,Assumptions!$B$31,Assumptions!$B$32)))</f>
        <v>6</v>
      </c>
      <c r="D7" s="34" t="n">
        <f aca="false">C7*Assumptions!$B$22</f>
        <v>30000000</v>
      </c>
      <c r="E7" s="34" t="n">
        <f aca="false">IF(C7=0,0,D7/C7)</f>
        <v>5000000</v>
      </c>
    </row>
    <row r="8" customFormat="false" ht="15" hidden="false" customHeight="true" outlineLevel="0" collapsed="false">
      <c r="A8" s="1" t="n">
        <v>5</v>
      </c>
      <c r="B8" s="1" t="s">
        <v>171</v>
      </c>
      <c r="C8" s="50" t="n">
        <f aca="false">IF(5&lt;=6,Assumptions!$B$29,IF(5&lt;=12,Assumptions!$B$30,IF(5&lt;=24,Assumptions!$B$31,Assumptions!$B$32)))</f>
        <v>6</v>
      </c>
      <c r="D8" s="34" t="n">
        <f aca="false">C8*Assumptions!$B$22</f>
        <v>30000000</v>
      </c>
      <c r="E8" s="34" t="n">
        <f aca="false">IF(C8=0,0,D8/C8)</f>
        <v>5000000</v>
      </c>
    </row>
    <row r="9" customFormat="false" ht="15" hidden="false" customHeight="true" outlineLevel="0" collapsed="false">
      <c r="A9" s="1" t="n">
        <v>6</v>
      </c>
      <c r="B9" s="1" t="s">
        <v>172</v>
      </c>
      <c r="C9" s="50" t="n">
        <f aca="false">IF(6&lt;=6,Assumptions!$B$29,IF(6&lt;=12,Assumptions!$B$30,IF(6&lt;=24,Assumptions!$B$31,Assumptions!$B$32)))</f>
        <v>6</v>
      </c>
      <c r="D9" s="34" t="n">
        <f aca="false">C9*Assumptions!$B$22</f>
        <v>30000000</v>
      </c>
      <c r="E9" s="34" t="n">
        <f aca="false">IF(C9=0,0,D9/C9)</f>
        <v>5000000</v>
      </c>
    </row>
    <row r="10" customFormat="false" ht="15" hidden="false" customHeight="true" outlineLevel="0" collapsed="false">
      <c r="A10" s="1" t="n">
        <v>7</v>
      </c>
      <c r="B10" s="1" t="s">
        <v>173</v>
      </c>
      <c r="C10" s="50" t="n">
        <f aca="false">IF(7&lt;=6,Assumptions!$B$29,IF(7&lt;=12,Assumptions!$B$30,IF(7&lt;=24,Assumptions!$B$31,Assumptions!$B$32)))</f>
        <v>8</v>
      </c>
      <c r="D10" s="34" t="n">
        <f aca="false">C10*Assumptions!$B$22</f>
        <v>40000000</v>
      </c>
      <c r="E10" s="34" t="n">
        <f aca="false">IF(C10=0,0,D10/C10)</f>
        <v>5000000</v>
      </c>
    </row>
    <row r="11" customFormat="false" ht="15" hidden="false" customHeight="true" outlineLevel="0" collapsed="false">
      <c r="A11" s="1" t="n">
        <v>8</v>
      </c>
      <c r="B11" s="1" t="s">
        <v>174</v>
      </c>
      <c r="C11" s="50" t="n">
        <f aca="false">IF(8&lt;=6,Assumptions!$B$29,IF(8&lt;=12,Assumptions!$B$30,IF(8&lt;=24,Assumptions!$B$31,Assumptions!$B$32)))</f>
        <v>8</v>
      </c>
      <c r="D11" s="34" t="n">
        <f aca="false">C11*Assumptions!$B$22</f>
        <v>40000000</v>
      </c>
      <c r="E11" s="34" t="n">
        <f aca="false">IF(C11=0,0,D11/C11)</f>
        <v>5000000</v>
      </c>
    </row>
    <row r="12" customFormat="false" ht="15" hidden="false" customHeight="true" outlineLevel="0" collapsed="false">
      <c r="A12" s="1" t="n">
        <v>9</v>
      </c>
      <c r="B12" s="1" t="s">
        <v>175</v>
      </c>
      <c r="C12" s="50" t="n">
        <f aca="false">IF(9&lt;=6,Assumptions!$B$29,IF(9&lt;=12,Assumptions!$B$30,IF(9&lt;=24,Assumptions!$B$31,Assumptions!$B$32)))</f>
        <v>8</v>
      </c>
      <c r="D12" s="34" t="n">
        <f aca="false">C12*Assumptions!$B$22</f>
        <v>40000000</v>
      </c>
      <c r="E12" s="34" t="n">
        <f aca="false">IF(C12=0,0,D12/C12)</f>
        <v>5000000</v>
      </c>
    </row>
    <row r="13" customFormat="false" ht="15" hidden="false" customHeight="true" outlineLevel="0" collapsed="false">
      <c r="A13" s="1" t="n">
        <v>10</v>
      </c>
      <c r="B13" s="1" t="s">
        <v>176</v>
      </c>
      <c r="C13" s="50" t="n">
        <f aca="false">IF(10&lt;=6,Assumptions!$B$29,IF(10&lt;=12,Assumptions!$B$30,IF(10&lt;=24,Assumptions!$B$31,Assumptions!$B$32)))</f>
        <v>8</v>
      </c>
      <c r="D13" s="34" t="n">
        <f aca="false">C13*Assumptions!$B$22</f>
        <v>40000000</v>
      </c>
      <c r="E13" s="34" t="n">
        <f aca="false">IF(C13=0,0,D13/C13)</f>
        <v>5000000</v>
      </c>
    </row>
    <row r="14" customFormat="false" ht="15" hidden="false" customHeight="true" outlineLevel="0" collapsed="false">
      <c r="A14" s="1" t="n">
        <v>11</v>
      </c>
      <c r="B14" s="1" t="s">
        <v>177</v>
      </c>
      <c r="C14" s="50" t="n">
        <f aca="false">IF(11&lt;=6,Assumptions!$B$29,IF(11&lt;=12,Assumptions!$B$30,IF(11&lt;=24,Assumptions!$B$31,Assumptions!$B$32)))</f>
        <v>8</v>
      </c>
      <c r="D14" s="34" t="n">
        <f aca="false">C14*Assumptions!$B$22</f>
        <v>40000000</v>
      </c>
      <c r="E14" s="34" t="n">
        <f aca="false">IF(C14=0,0,D14/C14)</f>
        <v>5000000</v>
      </c>
    </row>
    <row r="15" customFormat="false" ht="15" hidden="false" customHeight="true" outlineLevel="0" collapsed="false">
      <c r="A15" s="1" t="n">
        <v>12</v>
      </c>
      <c r="B15" s="1" t="s">
        <v>178</v>
      </c>
      <c r="C15" s="50" t="n">
        <f aca="false">IF(12&lt;=6,Assumptions!$B$29,IF(12&lt;=12,Assumptions!$B$30,IF(12&lt;=24,Assumptions!$B$31,Assumptions!$B$32)))</f>
        <v>8</v>
      </c>
      <c r="D15" s="34" t="n">
        <f aca="false">C15*Assumptions!$B$22</f>
        <v>40000000</v>
      </c>
      <c r="E15" s="34" t="n">
        <f aca="false">IF(C15=0,0,D15/C15)</f>
        <v>5000000</v>
      </c>
    </row>
    <row r="16" customFormat="false" ht="15" hidden="false" customHeight="true" outlineLevel="0" collapsed="false">
      <c r="A16" s="1" t="n">
        <v>13</v>
      </c>
      <c r="B16" s="1" t="s">
        <v>179</v>
      </c>
      <c r="C16" s="50" t="n">
        <f aca="false">IF(13&lt;=6,Assumptions!$B$29,IF(13&lt;=12,Assumptions!$B$30,IF(13&lt;=24,Assumptions!$B$31,Assumptions!$B$32)))</f>
        <v>10</v>
      </c>
      <c r="D16" s="34" t="n">
        <f aca="false">C16*Assumptions!$B$22</f>
        <v>50000000</v>
      </c>
      <c r="E16" s="34" t="n">
        <f aca="false">IF(C16=0,0,D16/C16)</f>
        <v>5000000</v>
      </c>
    </row>
    <row r="17" customFormat="false" ht="15" hidden="false" customHeight="true" outlineLevel="0" collapsed="false">
      <c r="A17" s="1" t="n">
        <v>14</v>
      </c>
      <c r="B17" s="1" t="s">
        <v>180</v>
      </c>
      <c r="C17" s="50" t="n">
        <f aca="false">IF(14&lt;=6,Assumptions!$B$29,IF(14&lt;=12,Assumptions!$B$30,IF(14&lt;=24,Assumptions!$B$31,Assumptions!$B$32)))</f>
        <v>10</v>
      </c>
      <c r="D17" s="34" t="n">
        <f aca="false">C17*Assumptions!$B$22</f>
        <v>50000000</v>
      </c>
      <c r="E17" s="34" t="n">
        <f aca="false">IF(C17=0,0,D17/C17)</f>
        <v>5000000</v>
      </c>
    </row>
    <row r="18" customFormat="false" ht="15" hidden="false" customHeight="true" outlineLevel="0" collapsed="false">
      <c r="A18" s="1" t="n">
        <v>15</v>
      </c>
      <c r="B18" s="1" t="s">
        <v>181</v>
      </c>
      <c r="C18" s="50" t="n">
        <f aca="false">IF(15&lt;=6,Assumptions!$B$29,IF(15&lt;=12,Assumptions!$B$30,IF(15&lt;=24,Assumptions!$B$31,Assumptions!$B$32)))</f>
        <v>10</v>
      </c>
      <c r="D18" s="34" t="n">
        <f aca="false">C18*Assumptions!$B$22</f>
        <v>50000000</v>
      </c>
      <c r="E18" s="34" t="n">
        <f aca="false">IF(C18=0,0,D18/C18)</f>
        <v>5000000</v>
      </c>
    </row>
    <row r="19" customFormat="false" ht="15" hidden="false" customHeight="true" outlineLevel="0" collapsed="false">
      <c r="A19" s="1" t="n">
        <v>16</v>
      </c>
      <c r="B19" s="1" t="s">
        <v>182</v>
      </c>
      <c r="C19" s="50" t="n">
        <f aca="false">IF(16&lt;=6,Assumptions!$B$29,IF(16&lt;=12,Assumptions!$B$30,IF(16&lt;=24,Assumptions!$B$31,Assumptions!$B$32)))</f>
        <v>10</v>
      </c>
      <c r="D19" s="34" t="n">
        <f aca="false">C19*Assumptions!$B$22</f>
        <v>50000000</v>
      </c>
      <c r="E19" s="34" t="n">
        <f aca="false">IF(C19=0,0,D19/C19)</f>
        <v>5000000</v>
      </c>
    </row>
    <row r="20" customFormat="false" ht="15" hidden="false" customHeight="true" outlineLevel="0" collapsed="false">
      <c r="A20" s="1" t="n">
        <v>17</v>
      </c>
      <c r="B20" s="1" t="s">
        <v>183</v>
      </c>
      <c r="C20" s="50" t="n">
        <f aca="false">IF(17&lt;=6,Assumptions!$B$29,IF(17&lt;=12,Assumptions!$B$30,IF(17&lt;=24,Assumptions!$B$31,Assumptions!$B$32)))</f>
        <v>10</v>
      </c>
      <c r="D20" s="34" t="n">
        <f aca="false">C20*Assumptions!$B$22</f>
        <v>50000000</v>
      </c>
      <c r="E20" s="34" t="n">
        <f aca="false">IF(C20=0,0,D20/C20)</f>
        <v>5000000</v>
      </c>
    </row>
    <row r="21" customFormat="false" ht="15" hidden="false" customHeight="true" outlineLevel="0" collapsed="false">
      <c r="A21" s="1" t="n">
        <v>18</v>
      </c>
      <c r="B21" s="1" t="s">
        <v>184</v>
      </c>
      <c r="C21" s="50" t="n">
        <f aca="false">IF(18&lt;=6,Assumptions!$B$29,IF(18&lt;=12,Assumptions!$B$30,IF(18&lt;=24,Assumptions!$B$31,Assumptions!$B$32)))</f>
        <v>10</v>
      </c>
      <c r="D21" s="34" t="n">
        <f aca="false">C21*Assumptions!$B$22</f>
        <v>50000000</v>
      </c>
      <c r="E21" s="34" t="n">
        <f aca="false">IF(C21=0,0,D21/C21)</f>
        <v>5000000</v>
      </c>
    </row>
    <row r="22" customFormat="false" ht="15" hidden="false" customHeight="true" outlineLevel="0" collapsed="false">
      <c r="A22" s="1" t="n">
        <v>19</v>
      </c>
      <c r="B22" s="1" t="s">
        <v>185</v>
      </c>
      <c r="C22" s="50" t="n">
        <f aca="false">IF(19&lt;=6,Assumptions!$B$29,IF(19&lt;=12,Assumptions!$B$30,IF(19&lt;=24,Assumptions!$B$31,Assumptions!$B$32)))</f>
        <v>10</v>
      </c>
      <c r="D22" s="34" t="n">
        <f aca="false">C22*Assumptions!$B$22</f>
        <v>50000000</v>
      </c>
      <c r="E22" s="34" t="n">
        <f aca="false">IF(C22=0,0,D22/C22)</f>
        <v>5000000</v>
      </c>
    </row>
    <row r="23" customFormat="false" ht="15" hidden="false" customHeight="true" outlineLevel="0" collapsed="false">
      <c r="A23" s="1" t="n">
        <v>20</v>
      </c>
      <c r="B23" s="1" t="s">
        <v>186</v>
      </c>
      <c r="C23" s="50" t="n">
        <f aca="false">IF(20&lt;=6,Assumptions!$B$29,IF(20&lt;=12,Assumptions!$B$30,IF(20&lt;=24,Assumptions!$B$31,Assumptions!$B$32)))</f>
        <v>10</v>
      </c>
      <c r="D23" s="34" t="n">
        <f aca="false">C23*Assumptions!$B$22</f>
        <v>50000000</v>
      </c>
      <c r="E23" s="34" t="n">
        <f aca="false">IF(C23=0,0,D23/C23)</f>
        <v>5000000</v>
      </c>
    </row>
    <row r="24" customFormat="false" ht="15" hidden="false" customHeight="true" outlineLevel="0" collapsed="false">
      <c r="A24" s="1" t="n">
        <v>21</v>
      </c>
      <c r="B24" s="1" t="s">
        <v>187</v>
      </c>
      <c r="C24" s="50" t="n">
        <f aca="false">IF(21&lt;=6,Assumptions!$B$29,IF(21&lt;=12,Assumptions!$B$30,IF(21&lt;=24,Assumptions!$B$31,Assumptions!$B$32)))</f>
        <v>10</v>
      </c>
      <c r="D24" s="34" t="n">
        <f aca="false">C24*Assumptions!$B$22</f>
        <v>50000000</v>
      </c>
      <c r="E24" s="34" t="n">
        <f aca="false">IF(C24=0,0,D24/C24)</f>
        <v>5000000</v>
      </c>
    </row>
    <row r="25" customFormat="false" ht="15" hidden="false" customHeight="true" outlineLevel="0" collapsed="false">
      <c r="A25" s="1" t="n">
        <v>22</v>
      </c>
      <c r="B25" s="1" t="s">
        <v>188</v>
      </c>
      <c r="C25" s="50" t="n">
        <f aca="false">IF(22&lt;=6,Assumptions!$B$29,IF(22&lt;=12,Assumptions!$B$30,IF(22&lt;=24,Assumptions!$B$31,Assumptions!$B$32)))</f>
        <v>10</v>
      </c>
      <c r="D25" s="34" t="n">
        <f aca="false">C25*Assumptions!$B$22</f>
        <v>50000000</v>
      </c>
      <c r="E25" s="34" t="n">
        <f aca="false">IF(C25=0,0,D25/C25)</f>
        <v>5000000</v>
      </c>
    </row>
    <row r="26" customFormat="false" ht="15" hidden="false" customHeight="true" outlineLevel="0" collapsed="false">
      <c r="A26" s="1" t="n">
        <v>23</v>
      </c>
      <c r="B26" s="1" t="s">
        <v>189</v>
      </c>
      <c r="C26" s="50" t="n">
        <f aca="false">IF(23&lt;=6,Assumptions!$B$29,IF(23&lt;=12,Assumptions!$B$30,IF(23&lt;=24,Assumptions!$B$31,Assumptions!$B$32)))</f>
        <v>10</v>
      </c>
      <c r="D26" s="34" t="n">
        <f aca="false">C26*Assumptions!$B$22</f>
        <v>50000000</v>
      </c>
      <c r="E26" s="34" t="n">
        <f aca="false">IF(C26=0,0,D26/C26)</f>
        <v>5000000</v>
      </c>
    </row>
    <row r="27" customFormat="false" ht="15" hidden="false" customHeight="true" outlineLevel="0" collapsed="false">
      <c r="A27" s="1" t="n">
        <v>24</v>
      </c>
      <c r="B27" s="1" t="s">
        <v>190</v>
      </c>
      <c r="C27" s="50" t="n">
        <f aca="false">IF(24&lt;=6,Assumptions!$B$29,IF(24&lt;=12,Assumptions!$B$30,IF(24&lt;=24,Assumptions!$B$31,Assumptions!$B$32)))</f>
        <v>10</v>
      </c>
      <c r="D27" s="34" t="n">
        <f aca="false">C27*Assumptions!$B$22</f>
        <v>50000000</v>
      </c>
      <c r="E27" s="34" t="n">
        <f aca="false">IF(C27=0,0,D27/C27)</f>
        <v>5000000</v>
      </c>
    </row>
    <row r="28" customFormat="false" ht="15" hidden="false" customHeight="true" outlineLevel="0" collapsed="false">
      <c r="A28" s="1" t="n">
        <v>25</v>
      </c>
      <c r="B28" s="1" t="s">
        <v>191</v>
      </c>
      <c r="C28" s="50" t="n">
        <f aca="false">IF(25&lt;=6,Assumptions!$B$29,IF(25&lt;=12,Assumptions!$B$30,IF(25&lt;=24,Assumptions!$B$31,Assumptions!$B$32)))</f>
        <v>14</v>
      </c>
      <c r="D28" s="34" t="n">
        <f aca="false">C28*Assumptions!$B$22</f>
        <v>70000000</v>
      </c>
      <c r="E28" s="34" t="n">
        <f aca="false">IF(C28=0,0,D28/C28)</f>
        <v>5000000</v>
      </c>
    </row>
    <row r="29" customFormat="false" ht="15" hidden="false" customHeight="true" outlineLevel="0" collapsed="false">
      <c r="A29" s="1" t="n">
        <v>26</v>
      </c>
      <c r="B29" s="1" t="s">
        <v>192</v>
      </c>
      <c r="C29" s="50" t="n">
        <f aca="false">IF(26&lt;=6,Assumptions!$B$29,IF(26&lt;=12,Assumptions!$B$30,IF(26&lt;=24,Assumptions!$B$31,Assumptions!$B$32)))</f>
        <v>14</v>
      </c>
      <c r="D29" s="34" t="n">
        <f aca="false">C29*Assumptions!$B$22</f>
        <v>70000000</v>
      </c>
      <c r="E29" s="34" t="n">
        <f aca="false">IF(C29=0,0,D29/C29)</f>
        <v>5000000</v>
      </c>
    </row>
    <row r="30" customFormat="false" ht="15" hidden="false" customHeight="true" outlineLevel="0" collapsed="false">
      <c r="A30" s="1" t="n">
        <v>27</v>
      </c>
      <c r="B30" s="1" t="s">
        <v>193</v>
      </c>
      <c r="C30" s="50" t="n">
        <f aca="false">IF(27&lt;=6,Assumptions!$B$29,IF(27&lt;=12,Assumptions!$B$30,IF(27&lt;=24,Assumptions!$B$31,Assumptions!$B$32)))</f>
        <v>14</v>
      </c>
      <c r="D30" s="34" t="n">
        <f aca="false">C30*Assumptions!$B$22</f>
        <v>70000000</v>
      </c>
      <c r="E30" s="34" t="n">
        <f aca="false">IF(C30=0,0,D30/C30)</f>
        <v>5000000</v>
      </c>
    </row>
    <row r="31" customFormat="false" ht="15" hidden="false" customHeight="true" outlineLevel="0" collapsed="false">
      <c r="A31" s="1" t="n">
        <v>28</v>
      </c>
      <c r="B31" s="1" t="s">
        <v>194</v>
      </c>
      <c r="C31" s="50" t="n">
        <f aca="false">IF(28&lt;=6,Assumptions!$B$29,IF(28&lt;=12,Assumptions!$B$30,IF(28&lt;=24,Assumptions!$B$31,Assumptions!$B$32)))</f>
        <v>14</v>
      </c>
      <c r="D31" s="34" t="n">
        <f aca="false">C31*Assumptions!$B$22</f>
        <v>70000000</v>
      </c>
      <c r="E31" s="34" t="n">
        <f aca="false">IF(C31=0,0,D31/C31)</f>
        <v>5000000</v>
      </c>
    </row>
    <row r="32" customFormat="false" ht="15" hidden="false" customHeight="true" outlineLevel="0" collapsed="false">
      <c r="A32" s="1" t="n">
        <v>29</v>
      </c>
      <c r="B32" s="1" t="s">
        <v>195</v>
      </c>
      <c r="C32" s="50" t="n">
        <f aca="false">IF(29&lt;=6,Assumptions!$B$29,IF(29&lt;=12,Assumptions!$B$30,IF(29&lt;=24,Assumptions!$B$31,Assumptions!$B$32)))</f>
        <v>14</v>
      </c>
      <c r="D32" s="34" t="n">
        <f aca="false">C32*Assumptions!$B$22</f>
        <v>70000000</v>
      </c>
      <c r="E32" s="34" t="n">
        <f aca="false">IF(C32=0,0,D32/C32)</f>
        <v>5000000</v>
      </c>
    </row>
    <row r="33" customFormat="false" ht="15" hidden="false" customHeight="true" outlineLevel="0" collapsed="false">
      <c r="A33" s="1" t="n">
        <v>30</v>
      </c>
      <c r="B33" s="1" t="s">
        <v>196</v>
      </c>
      <c r="C33" s="50" t="n">
        <f aca="false">IF(30&lt;=6,Assumptions!$B$29,IF(30&lt;=12,Assumptions!$B$30,IF(30&lt;=24,Assumptions!$B$31,Assumptions!$B$32)))</f>
        <v>14</v>
      </c>
      <c r="D33" s="34" t="n">
        <f aca="false">C33*Assumptions!$B$22</f>
        <v>70000000</v>
      </c>
      <c r="E33" s="34" t="n">
        <f aca="false">IF(C33=0,0,D33/C33)</f>
        <v>5000000</v>
      </c>
    </row>
    <row r="34" customFormat="false" ht="15" hidden="false" customHeight="true" outlineLevel="0" collapsed="false">
      <c r="A34" s="1" t="n">
        <v>31</v>
      </c>
      <c r="B34" s="1" t="s">
        <v>197</v>
      </c>
      <c r="C34" s="50" t="n">
        <f aca="false">IF(31&lt;=6,Assumptions!$B$29,IF(31&lt;=12,Assumptions!$B$30,IF(31&lt;=24,Assumptions!$B$31,Assumptions!$B$32)))</f>
        <v>14</v>
      </c>
      <c r="D34" s="34" t="n">
        <f aca="false">C34*Assumptions!$B$22</f>
        <v>70000000</v>
      </c>
      <c r="E34" s="34" t="n">
        <f aca="false">IF(C34=0,0,D34/C34)</f>
        <v>5000000</v>
      </c>
    </row>
    <row r="35" customFormat="false" ht="15" hidden="false" customHeight="true" outlineLevel="0" collapsed="false">
      <c r="A35" s="1" t="n">
        <v>32</v>
      </c>
      <c r="B35" s="1" t="s">
        <v>198</v>
      </c>
      <c r="C35" s="50" t="n">
        <f aca="false">IF(32&lt;=6,Assumptions!$B$29,IF(32&lt;=12,Assumptions!$B$30,IF(32&lt;=24,Assumptions!$B$31,Assumptions!$B$32)))</f>
        <v>14</v>
      </c>
      <c r="D35" s="34" t="n">
        <f aca="false">C35*Assumptions!$B$22</f>
        <v>70000000</v>
      </c>
      <c r="E35" s="34" t="n">
        <f aca="false">IF(C35=0,0,D35/C35)</f>
        <v>5000000</v>
      </c>
    </row>
    <row r="36" customFormat="false" ht="15" hidden="false" customHeight="true" outlineLevel="0" collapsed="false">
      <c r="A36" s="1" t="n">
        <v>33</v>
      </c>
      <c r="B36" s="1" t="s">
        <v>199</v>
      </c>
      <c r="C36" s="50" t="n">
        <f aca="false">IF(33&lt;=6,Assumptions!$B$29,IF(33&lt;=12,Assumptions!$B$30,IF(33&lt;=24,Assumptions!$B$31,Assumptions!$B$32)))</f>
        <v>14</v>
      </c>
      <c r="D36" s="34" t="n">
        <f aca="false">C36*Assumptions!$B$22</f>
        <v>70000000</v>
      </c>
      <c r="E36" s="34" t="n">
        <f aca="false">IF(C36=0,0,D36/C36)</f>
        <v>5000000</v>
      </c>
    </row>
    <row r="37" customFormat="false" ht="15" hidden="false" customHeight="true" outlineLevel="0" collapsed="false">
      <c r="A37" s="1" t="n">
        <v>34</v>
      </c>
      <c r="B37" s="1" t="s">
        <v>200</v>
      </c>
      <c r="C37" s="50" t="n">
        <f aca="false">IF(34&lt;=6,Assumptions!$B$29,IF(34&lt;=12,Assumptions!$B$30,IF(34&lt;=24,Assumptions!$B$31,Assumptions!$B$32)))</f>
        <v>14</v>
      </c>
      <c r="D37" s="34" t="n">
        <f aca="false">C37*Assumptions!$B$22</f>
        <v>70000000</v>
      </c>
      <c r="E37" s="34" t="n">
        <f aca="false">IF(C37=0,0,D37/C37)</f>
        <v>5000000</v>
      </c>
    </row>
    <row r="38" customFormat="false" ht="15" hidden="false" customHeight="true" outlineLevel="0" collapsed="false">
      <c r="A38" s="1" t="n">
        <v>35</v>
      </c>
      <c r="B38" s="1" t="s">
        <v>201</v>
      </c>
      <c r="C38" s="50" t="n">
        <f aca="false">IF(35&lt;=6,Assumptions!$B$29,IF(35&lt;=12,Assumptions!$B$30,IF(35&lt;=24,Assumptions!$B$31,Assumptions!$B$32)))</f>
        <v>14</v>
      </c>
      <c r="D38" s="34" t="n">
        <f aca="false">C38*Assumptions!$B$22</f>
        <v>70000000</v>
      </c>
      <c r="E38" s="34" t="n">
        <f aca="false">IF(C38=0,0,D38/C38)</f>
        <v>5000000</v>
      </c>
    </row>
    <row r="39" customFormat="false" ht="15" hidden="false" customHeight="true" outlineLevel="0" collapsed="false">
      <c r="A39" s="1" t="n">
        <v>36</v>
      </c>
      <c r="B39" s="1" t="s">
        <v>202</v>
      </c>
      <c r="C39" s="50" t="n">
        <f aca="false">IF(36&lt;=6,Assumptions!$B$29,IF(36&lt;=12,Assumptions!$B$30,IF(36&lt;=24,Assumptions!$B$31,Assumptions!$B$32)))</f>
        <v>14</v>
      </c>
      <c r="D39" s="34" t="n">
        <f aca="false">C39*Assumptions!$B$22</f>
        <v>70000000</v>
      </c>
      <c r="E39" s="34" t="n">
        <f aca="false">IF(C39=0,0,D39/C39)</f>
        <v>5000000</v>
      </c>
    </row>
    <row r="40" customFormat="false" ht="15" hidden="false" customHeight="true" outlineLevel="0" collapsed="false">
      <c r="A40" s="27" t="s">
        <v>262</v>
      </c>
      <c r="D40" s="36" t="n">
        <f aca="false">SUM(D4:D15)</f>
        <v>420000000</v>
      </c>
    </row>
    <row r="41" customFormat="false" ht="15" hidden="false" customHeight="true" outlineLevel="0" collapsed="false">
      <c r="A41" s="27" t="s">
        <v>263</v>
      </c>
      <c r="D41" s="36" t="n">
        <f aca="false">SUM(D16:D27)</f>
        <v>600000000</v>
      </c>
    </row>
    <row r="42" customFormat="false" ht="15" hidden="false" customHeight="true" outlineLevel="0" collapsed="false">
      <c r="A42" s="27" t="s">
        <v>264</v>
      </c>
      <c r="D42" s="36" t="n">
        <f aca="false">SUM(D28:D39)</f>
        <v>840000000</v>
      </c>
    </row>
    <row r="43" customFormat="false" ht="15" hidden="false" customHeight="true" outlineLevel="0" collapsed="false">
      <c r="A43" s="27" t="s">
        <v>265</v>
      </c>
      <c r="D43" s="39" t="n">
        <f aca="false">D40+D41+D42</f>
        <v>1860000000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0"/>
    <col collapsed="false" customWidth="true" hidden="false" outlineLevel="0" max="7" min="2" style="1" width="18"/>
    <col collapsed="false" customWidth="true" hidden="false" outlineLevel="0" max="8" min="8" style="1" width="14"/>
  </cols>
  <sheetData>
    <row r="1" customFormat="false" ht="20.25" hidden="false" customHeight="true" outlineLevel="0" collapsed="false">
      <c r="A1" s="11" t="s">
        <v>266</v>
      </c>
      <c r="B1" s="11"/>
      <c r="C1" s="11"/>
      <c r="D1" s="11"/>
      <c r="E1" s="11"/>
      <c r="F1" s="11"/>
      <c r="G1" s="11"/>
      <c r="H1" s="11"/>
    </row>
    <row r="3" customFormat="false" ht="15" hidden="false" customHeight="true" outlineLevel="0" collapsed="false">
      <c r="A3" s="25" t="s">
        <v>159</v>
      </c>
      <c r="B3" s="25" t="s">
        <v>160</v>
      </c>
      <c r="C3" s="25" t="s">
        <v>267</v>
      </c>
      <c r="D3" s="25" t="s">
        <v>268</v>
      </c>
      <c r="E3" s="25" t="s">
        <v>269</v>
      </c>
      <c r="F3" s="25" t="s">
        <v>270</v>
      </c>
      <c r="G3" s="25" t="s">
        <v>271</v>
      </c>
      <c r="H3" s="25" t="s">
        <v>272</v>
      </c>
    </row>
    <row r="4" customFormat="false" ht="15" hidden="false" customHeight="true" outlineLevel="0" collapsed="false">
      <c r="A4" s="1" t="n">
        <v>1</v>
      </c>
      <c r="B4" s="1" t="s">
        <v>167</v>
      </c>
      <c r="C4" s="33" t="n">
        <f aca="false">Assumptions!$B$35</f>
        <v>100000000</v>
      </c>
      <c r="D4" s="51" t="n">
        <f aca="false">IF(1=Assumptions!$B$37,Assumptions!$B$36,0)</f>
        <v>0</v>
      </c>
      <c r="E4" s="51" t="n">
        <f aca="false">IF(1=3,Assumptions!$B$40,0)+IF(1=6,Headcount!C4*Assumptions!$B$41,0)+IF(1=9,Assumptions!$B$42,0)+IF(1=12,Assumptions!$B$43*Assumptions!$B$47,0)+IF(1=15,Assumptions!$B$44,0)+IF(1=18,Assumptions!$B$45,0)+IF(1=24,Assumptions!$B$46,0)</f>
        <v>0</v>
      </c>
      <c r="F4" s="52" t="n">
        <f aca="false">PnL!B14</f>
        <v>-34580000</v>
      </c>
      <c r="G4" s="47" t="n">
        <f aca="false">C4+D4+E4+F4</f>
        <v>65420000</v>
      </c>
      <c r="H4" s="53" t="n">
        <f aca="false">G4/Assumptions!$B$4</f>
        <v>46728.5714285714</v>
      </c>
    </row>
    <row r="5" customFormat="false" ht="15" hidden="false" customHeight="true" outlineLevel="0" collapsed="false">
      <c r="A5" s="1" t="n">
        <v>2</v>
      </c>
      <c r="B5" s="1" t="s">
        <v>168</v>
      </c>
      <c r="C5" s="34" t="n">
        <f aca="false">G4</f>
        <v>65420000</v>
      </c>
      <c r="D5" s="51" t="n">
        <f aca="false">IF(2=Assumptions!$B$37,Assumptions!$B$36,0)</f>
        <v>0</v>
      </c>
      <c r="E5" s="51" t="n">
        <f aca="false">IF(2=3,Assumptions!$B$40,0)+IF(2=6,Headcount!C5*Assumptions!$B$41,0)+IF(2=9,Assumptions!$B$42,0)+IF(2=12,Assumptions!$B$43*Assumptions!$B$47,0)+IF(2=15,Assumptions!$B$44,0)+IF(2=18,Assumptions!$B$45,0)+IF(2=24,Assumptions!$B$46,0)</f>
        <v>0</v>
      </c>
      <c r="F5" s="52" t="n">
        <f aca="false">PnL!C14</f>
        <v>-34475000</v>
      </c>
      <c r="G5" s="47" t="n">
        <f aca="false">C5+D5+E5+F5</f>
        <v>30945000</v>
      </c>
      <c r="H5" s="53" t="n">
        <f aca="false">G5/Assumptions!$B$4</f>
        <v>22103.5714285714</v>
      </c>
    </row>
    <row r="6" customFormat="false" ht="15" hidden="false" customHeight="true" outlineLevel="0" collapsed="false">
      <c r="A6" s="1" t="n">
        <v>3</v>
      </c>
      <c r="B6" s="1" t="s">
        <v>169</v>
      </c>
      <c r="C6" s="34" t="n">
        <f aca="false">G5</f>
        <v>30945000</v>
      </c>
      <c r="D6" s="51" t="n">
        <f aca="false">IF(3=Assumptions!$B$37,Assumptions!$B$36,0)</f>
        <v>8000000000</v>
      </c>
      <c r="E6" s="51" t="n">
        <f aca="false">IF(3=3,Assumptions!$B$40,0)+IF(3=6,Headcount!C6*Assumptions!$B$41,0)+IF(3=9,Assumptions!$B$42,0)+IF(3=12,Assumptions!$B$43*Assumptions!$B$47,0)+IF(3=15,Assumptions!$B$44,0)+IF(3=18,Assumptions!$B$45,0)+IF(3=24,Assumptions!$B$46,0)</f>
        <v>30000000</v>
      </c>
      <c r="F6" s="52" t="n">
        <f aca="false">PnL!D14</f>
        <v>-34343750</v>
      </c>
      <c r="G6" s="47" t="n">
        <f aca="false">C6+D6+E6+F6</f>
        <v>8026601250</v>
      </c>
      <c r="H6" s="53" t="n">
        <f aca="false">G6/Assumptions!$B$4</f>
        <v>5733286.60714286</v>
      </c>
    </row>
    <row r="7" customFormat="false" ht="15" hidden="false" customHeight="true" outlineLevel="0" collapsed="false">
      <c r="A7" s="1" t="n">
        <v>4</v>
      </c>
      <c r="B7" s="1" t="s">
        <v>170</v>
      </c>
      <c r="C7" s="34" t="n">
        <f aca="false">G6</f>
        <v>8026601250</v>
      </c>
      <c r="D7" s="51" t="n">
        <f aca="false">IF(4=Assumptions!$B$37,Assumptions!$B$36,0)</f>
        <v>0</v>
      </c>
      <c r="E7" s="51" t="n">
        <f aca="false">IF(4=3,Assumptions!$B$40,0)+IF(4=6,Headcount!C7*Assumptions!$B$41,0)+IF(4=9,Assumptions!$B$42,0)+IF(4=12,Assumptions!$B$43*Assumptions!$B$47,0)+IF(4=15,Assumptions!$B$44,0)+IF(4=18,Assumptions!$B$45,0)+IF(4=24,Assumptions!$B$46,0)</f>
        <v>0</v>
      </c>
      <c r="F7" s="52" t="n">
        <f aca="false">PnL!E14</f>
        <v>-34179687.5</v>
      </c>
      <c r="G7" s="47" t="n">
        <f aca="false">C7+D7+E7+F7</f>
        <v>7992421562.5</v>
      </c>
      <c r="H7" s="53" t="n">
        <f aca="false">G7/Assumptions!$B$4</f>
        <v>5708872.54464286</v>
      </c>
    </row>
    <row r="8" customFormat="false" ht="15" hidden="false" customHeight="true" outlineLevel="0" collapsed="false">
      <c r="A8" s="1" t="n">
        <v>5</v>
      </c>
      <c r="B8" s="1" t="s">
        <v>171</v>
      </c>
      <c r="C8" s="34" t="n">
        <f aca="false">G7</f>
        <v>7992421562.5</v>
      </c>
      <c r="D8" s="51" t="n">
        <f aca="false">IF(5=Assumptions!$B$37,Assumptions!$B$36,0)</f>
        <v>0</v>
      </c>
      <c r="E8" s="51" t="n">
        <f aca="false">IF(5=3,Assumptions!$B$40,0)+IF(5=6,Headcount!C8*Assumptions!$B$41,0)+IF(5=9,Assumptions!$B$42,0)+IF(5=12,Assumptions!$B$43*Assumptions!$B$47,0)+IF(5=15,Assumptions!$B$44,0)+IF(5=18,Assumptions!$B$45,0)+IF(5=24,Assumptions!$B$46,0)</f>
        <v>0</v>
      </c>
      <c r="F8" s="52" t="n">
        <f aca="false">PnL!F14</f>
        <v>-33974609.375</v>
      </c>
      <c r="G8" s="47" t="n">
        <f aca="false">C8+D8+E8+F8</f>
        <v>7958446953.125</v>
      </c>
      <c r="H8" s="53" t="n">
        <f aca="false">G8/Assumptions!$B$4</f>
        <v>5684604.96651786</v>
      </c>
    </row>
    <row r="9" customFormat="false" ht="15" hidden="false" customHeight="true" outlineLevel="0" collapsed="false">
      <c r="A9" s="1" t="n">
        <v>6</v>
      </c>
      <c r="B9" s="1" t="s">
        <v>172</v>
      </c>
      <c r="C9" s="34" t="n">
        <f aca="false">G8</f>
        <v>7958446953.125</v>
      </c>
      <c r="D9" s="51" t="n">
        <f aca="false">IF(6=Assumptions!$B$37,Assumptions!$B$36,0)</f>
        <v>0</v>
      </c>
      <c r="E9" s="51" t="n">
        <f aca="false">IF(6=3,Assumptions!$B$40,0)+IF(6=6,Headcount!C9*Assumptions!$B$41,0)+IF(6=9,Assumptions!$B$42,0)+IF(6=12,Assumptions!$B$43*Assumptions!$B$47,0)+IF(6=15,Assumptions!$B$44,0)+IF(6=18,Assumptions!$B$45,0)+IF(6=24,Assumptions!$B$46,0)</f>
        <v>43200000</v>
      </c>
      <c r="F9" s="52" t="n">
        <f aca="false">PnL!G14</f>
        <v>-33718261.71875</v>
      </c>
      <c r="G9" s="47" t="n">
        <f aca="false">C9+D9+E9+F9</f>
        <v>7967928691.40625</v>
      </c>
      <c r="H9" s="53" t="n">
        <f aca="false">G9/Assumptions!$B$4</f>
        <v>5691377.63671875</v>
      </c>
    </row>
    <row r="10" customFormat="false" ht="15" hidden="false" customHeight="true" outlineLevel="0" collapsed="false">
      <c r="A10" s="1" t="n">
        <v>7</v>
      </c>
      <c r="B10" s="1" t="s">
        <v>173</v>
      </c>
      <c r="C10" s="34" t="n">
        <f aca="false">G9</f>
        <v>7967928691.40625</v>
      </c>
      <c r="D10" s="51" t="n">
        <f aca="false">IF(7=Assumptions!$B$37,Assumptions!$B$36,0)</f>
        <v>0</v>
      </c>
      <c r="E10" s="51" t="n">
        <f aca="false">IF(7=3,Assumptions!$B$40,0)+IF(7=6,Headcount!C10*Assumptions!$B$41,0)+IF(7=9,Assumptions!$B$42,0)+IF(7=12,Assumptions!$B$43*Assumptions!$B$47,0)+IF(7=15,Assumptions!$B$44,0)+IF(7=18,Assumptions!$B$45,0)+IF(7=24,Assumptions!$B$46,0)</f>
        <v>0</v>
      </c>
      <c r="F10" s="52" t="n">
        <f aca="false">PnL!H14</f>
        <v>-43487548.828125</v>
      </c>
      <c r="G10" s="47" t="n">
        <f aca="false">C10+D10+E10+F10</f>
        <v>7924441142.57813</v>
      </c>
      <c r="H10" s="53" t="n">
        <f aca="false">G10/Assumptions!$B$4</f>
        <v>5660315.10184152</v>
      </c>
    </row>
    <row r="11" customFormat="false" ht="15" hidden="false" customHeight="true" outlineLevel="0" collapsed="false">
      <c r="A11" s="1" t="n">
        <v>8</v>
      </c>
      <c r="B11" s="1" t="s">
        <v>174</v>
      </c>
      <c r="C11" s="34" t="n">
        <f aca="false">G10</f>
        <v>7924441142.57813</v>
      </c>
      <c r="D11" s="51" t="n">
        <f aca="false">IF(8=Assumptions!$B$37,Assumptions!$B$36,0)</f>
        <v>0</v>
      </c>
      <c r="E11" s="51" t="n">
        <f aca="false">IF(8=3,Assumptions!$B$40,0)+IF(8=6,Headcount!C11*Assumptions!$B$41,0)+IF(8=9,Assumptions!$B$42,0)+IF(8=12,Assumptions!$B$43*Assumptions!$B$47,0)+IF(8=15,Assumptions!$B$44,0)+IF(8=18,Assumptions!$B$45,0)+IF(8=24,Assumptions!$B$46,0)</f>
        <v>0</v>
      </c>
      <c r="F11" s="52" t="n">
        <f aca="false">PnL!I14</f>
        <v>-43215307.6171875</v>
      </c>
      <c r="G11" s="47" t="n">
        <f aca="false">C11+D11+E11+F11</f>
        <v>7881225834.96094</v>
      </c>
      <c r="H11" s="53" t="n">
        <f aca="false">G11/Assumptions!$B$4</f>
        <v>5629447.0249721</v>
      </c>
    </row>
    <row r="12" customFormat="false" ht="15" hidden="false" customHeight="true" outlineLevel="0" collapsed="false">
      <c r="A12" s="1" t="n">
        <v>9</v>
      </c>
      <c r="B12" s="1" t="s">
        <v>175</v>
      </c>
      <c r="C12" s="34" t="n">
        <f aca="false">G11</f>
        <v>7881225834.96094</v>
      </c>
      <c r="D12" s="51" t="n">
        <f aca="false">IF(9=Assumptions!$B$37,Assumptions!$B$36,0)</f>
        <v>0</v>
      </c>
      <c r="E12" s="51" t="n">
        <f aca="false">IF(9=3,Assumptions!$B$40,0)+IF(9=6,Headcount!C12*Assumptions!$B$41,0)+IF(9=9,Assumptions!$B$42,0)+IF(9=12,Assumptions!$B$43*Assumptions!$B$47,0)+IF(9=15,Assumptions!$B$44,0)+IF(9=18,Assumptions!$B$45,0)+IF(9=24,Assumptions!$B$46,0)</f>
        <v>30000000</v>
      </c>
      <c r="F12" s="52" t="n">
        <f aca="false">PnL!J14</f>
        <v>-42894062.9882813</v>
      </c>
      <c r="G12" s="47" t="n">
        <f aca="false">C12+D12+E12+F12</f>
        <v>7868331771.97266</v>
      </c>
      <c r="H12" s="53" t="n">
        <f aca="false">G12/Assumptions!$B$4</f>
        <v>5620236.97998047</v>
      </c>
    </row>
    <row r="13" customFormat="false" ht="15" hidden="false" customHeight="true" outlineLevel="0" collapsed="false">
      <c r="A13" s="1" t="n">
        <v>10</v>
      </c>
      <c r="B13" s="1" t="s">
        <v>176</v>
      </c>
      <c r="C13" s="34" t="n">
        <f aca="false">G12</f>
        <v>7868331771.97266</v>
      </c>
      <c r="D13" s="51" t="n">
        <f aca="false">IF(10=Assumptions!$B$37,Assumptions!$B$36,0)</f>
        <v>0</v>
      </c>
      <c r="E13" s="51" t="n">
        <f aca="false">IF(10=3,Assumptions!$B$40,0)+IF(10=6,Headcount!C13*Assumptions!$B$41,0)+IF(10=9,Assumptions!$B$42,0)+IF(10=12,Assumptions!$B$43*Assumptions!$B$47,0)+IF(10=15,Assumptions!$B$44,0)+IF(10=18,Assumptions!$B$45,0)+IF(10=24,Assumptions!$B$46,0)</f>
        <v>0</v>
      </c>
      <c r="F13" s="52" t="n">
        <f aca="false">PnL!K14</f>
        <v>-42514994.3261719</v>
      </c>
      <c r="G13" s="47" t="n">
        <f aca="false">C13+D13+E13+F13</f>
        <v>7825816777.64648</v>
      </c>
      <c r="H13" s="53" t="n">
        <f aca="false">G13/Assumptions!$B$4</f>
        <v>5589869.12689035</v>
      </c>
    </row>
    <row r="14" customFormat="false" ht="15" hidden="false" customHeight="true" outlineLevel="0" collapsed="false">
      <c r="A14" s="1" t="n">
        <v>11</v>
      </c>
      <c r="B14" s="1" t="s">
        <v>177</v>
      </c>
      <c r="C14" s="34" t="n">
        <f aca="false">G13</f>
        <v>7825816777.64648</v>
      </c>
      <c r="D14" s="51" t="n">
        <f aca="false">IF(11=Assumptions!$B$37,Assumptions!$B$36,0)</f>
        <v>0</v>
      </c>
      <c r="E14" s="51" t="n">
        <f aca="false">IF(11=3,Assumptions!$B$40,0)+IF(11=6,Headcount!C14*Assumptions!$B$41,0)+IF(11=9,Assumptions!$B$42,0)+IF(11=12,Assumptions!$B$43*Assumptions!$B$47,0)+IF(11=15,Assumptions!$B$44,0)+IF(11=18,Assumptions!$B$45,0)+IF(11=24,Assumptions!$B$46,0)</f>
        <v>0</v>
      </c>
      <c r="F14" s="52" t="n">
        <f aca="false">PnL!L14</f>
        <v>-42067693.3048828</v>
      </c>
      <c r="G14" s="47" t="n">
        <f aca="false">C14+D14+E14+F14</f>
        <v>7783749084.3416</v>
      </c>
      <c r="H14" s="53" t="n">
        <f aca="false">G14/Assumptions!$B$4</f>
        <v>5559820.77452972</v>
      </c>
    </row>
    <row r="15" customFormat="false" ht="15" hidden="false" customHeight="true" outlineLevel="0" collapsed="false">
      <c r="A15" s="1" t="n">
        <v>12</v>
      </c>
      <c r="B15" s="1" t="s">
        <v>178</v>
      </c>
      <c r="C15" s="34" t="n">
        <f aca="false">G14</f>
        <v>7783749084.3416</v>
      </c>
      <c r="D15" s="51" t="n">
        <f aca="false">IF(12=Assumptions!$B$37,Assumptions!$B$36,0)</f>
        <v>0</v>
      </c>
      <c r="E15" s="51" t="n">
        <f aca="false">IF(12=3,Assumptions!$B$40,0)+IF(12=6,Headcount!C15*Assumptions!$B$41,0)+IF(12=9,Assumptions!$B$42,0)+IF(12=12,Assumptions!$B$43*Assumptions!$B$47,0)+IF(12=15,Assumptions!$B$44,0)+IF(12=18,Assumptions!$B$45,0)+IF(12=24,Assumptions!$B$46,0)</f>
        <v>800000000</v>
      </c>
      <c r="F15" s="52" t="n">
        <f aca="false">PnL!M14</f>
        <v>-41539878.0997617</v>
      </c>
      <c r="G15" s="47" t="n">
        <f aca="false">C15+D15+E15+F15</f>
        <v>8542209206.24184</v>
      </c>
      <c r="H15" s="53" t="n">
        <f aca="false">G15/Assumptions!$B$4</f>
        <v>6101578.00445846</v>
      </c>
    </row>
    <row r="16" customFormat="false" ht="15" hidden="false" customHeight="true" outlineLevel="0" collapsed="false">
      <c r="A16" s="1" t="n">
        <v>13</v>
      </c>
      <c r="B16" s="1" t="s">
        <v>179</v>
      </c>
      <c r="C16" s="34" t="n">
        <f aca="false">G15</f>
        <v>8542209206.24184</v>
      </c>
      <c r="D16" s="51" t="n">
        <f aca="false">IF(13=Assumptions!$B$37,Assumptions!$B$36,0)</f>
        <v>0</v>
      </c>
      <c r="E16" s="51" t="n">
        <f aca="false">IF(13=3,Assumptions!$B$40,0)+IF(13=6,Headcount!C16*Assumptions!$B$41,0)+IF(13=9,Assumptions!$B$42,0)+IF(13=12,Assumptions!$B$43*Assumptions!$B$47,0)+IF(13=15,Assumptions!$B$44,0)+IF(13=18,Assumptions!$B$45,0)+IF(13=24,Assumptions!$B$46,0)</f>
        <v>0</v>
      </c>
      <c r="F16" s="52" t="n">
        <f aca="false">PnL!N14</f>
        <v>-47249326.9434662</v>
      </c>
      <c r="G16" s="47" t="n">
        <f aca="false">C16+D16+E16+F16</f>
        <v>8494959879.29837</v>
      </c>
      <c r="H16" s="53" t="n">
        <f aca="false">G16/Assumptions!$B$4</f>
        <v>6067828.48521312</v>
      </c>
    </row>
    <row r="17" customFormat="false" ht="15" hidden="false" customHeight="true" outlineLevel="0" collapsed="false">
      <c r="A17" s="1" t="n">
        <v>14</v>
      </c>
      <c r="B17" s="1" t="s">
        <v>180</v>
      </c>
      <c r="C17" s="34" t="n">
        <f aca="false">G16</f>
        <v>8494959879.29837</v>
      </c>
      <c r="D17" s="51" t="n">
        <f aca="false">IF(14=Assumptions!$B$37,Assumptions!$B$36,0)</f>
        <v>0</v>
      </c>
      <c r="E17" s="51" t="n">
        <f aca="false">IF(14=3,Assumptions!$B$40,0)+IF(14=6,Headcount!C17*Assumptions!$B$41,0)+IF(14=9,Assumptions!$B$42,0)+IF(14=12,Assumptions!$B$43*Assumptions!$B$47,0)+IF(14=15,Assumptions!$B$44,0)+IF(14=18,Assumptions!$B$45,0)+IF(14=24,Assumptions!$B$46,0)</f>
        <v>0</v>
      </c>
      <c r="F17" s="52" t="n">
        <f aca="false">PnL!O14</f>
        <v>-46319246.1766822</v>
      </c>
      <c r="G17" s="47" t="n">
        <f aca="false">C17+D17+E17+F17</f>
        <v>8448640633.12169</v>
      </c>
      <c r="H17" s="53" t="n">
        <f aca="false">G17/Assumptions!$B$4</f>
        <v>6034743.30937264</v>
      </c>
    </row>
    <row r="18" customFormat="false" ht="15" hidden="false" customHeight="true" outlineLevel="0" collapsed="false">
      <c r="A18" s="1" t="n">
        <v>15</v>
      </c>
      <c r="B18" s="1" t="s">
        <v>181</v>
      </c>
      <c r="C18" s="34" t="n">
        <f aca="false">G17</f>
        <v>8448640633.12169</v>
      </c>
      <c r="D18" s="51" t="n">
        <f aca="false">IF(15=Assumptions!$B$37,Assumptions!$B$36,0)</f>
        <v>0</v>
      </c>
      <c r="E18" s="51" t="n">
        <f aca="false">IF(15=3,Assumptions!$B$40,0)+IF(15=6,Headcount!C18*Assumptions!$B$41,0)+IF(15=9,Assumptions!$B$42,0)+IF(15=12,Assumptions!$B$43*Assumptions!$B$47,0)+IF(15=15,Assumptions!$B$44,0)+IF(15=18,Assumptions!$B$45,0)+IF(15=24,Assumptions!$B$46,0)</f>
        <v>70000000</v>
      </c>
      <c r="F18" s="52" t="n">
        <f aca="false">PnL!P14</f>
        <v>-45277555.7178841</v>
      </c>
      <c r="G18" s="47" t="n">
        <f aca="false">C18+D18+E18+F18</f>
        <v>8473363077.40381</v>
      </c>
      <c r="H18" s="53" t="n">
        <f aca="false">G18/Assumptions!$B$4</f>
        <v>6052402.19814558</v>
      </c>
    </row>
    <row r="19" customFormat="false" ht="15" hidden="false" customHeight="true" outlineLevel="0" collapsed="false">
      <c r="A19" s="1" t="n">
        <v>16</v>
      </c>
      <c r="B19" s="1" t="s">
        <v>182</v>
      </c>
      <c r="C19" s="34" t="n">
        <f aca="false">G18</f>
        <v>8473363077.40381</v>
      </c>
      <c r="D19" s="51" t="n">
        <f aca="false">IF(16=Assumptions!$B$37,Assumptions!$B$36,0)</f>
        <v>0</v>
      </c>
      <c r="E19" s="51" t="n">
        <f aca="false">IF(16=3,Assumptions!$B$40,0)+IF(16=6,Headcount!C19*Assumptions!$B$41,0)+IF(16=9,Assumptions!$B$42,0)+IF(16=12,Assumptions!$B$43*Assumptions!$B$47,0)+IF(16=15,Assumptions!$B$44,0)+IF(16=18,Assumptions!$B$45,0)+IF(16=24,Assumptions!$B$46,0)</f>
        <v>0</v>
      </c>
      <c r="F19" s="52" t="n">
        <f aca="false">PnL!Q14</f>
        <v>-44110862.4040301</v>
      </c>
      <c r="G19" s="47" t="n">
        <f aca="false">C19+D19+E19+F19</f>
        <v>8429252214.99978</v>
      </c>
      <c r="H19" s="53" t="n">
        <f aca="false">G19/Assumptions!$B$4</f>
        <v>6020894.43928556</v>
      </c>
    </row>
    <row r="20" customFormat="false" ht="15" hidden="false" customHeight="true" outlineLevel="0" collapsed="false">
      <c r="A20" s="1" t="n">
        <v>17</v>
      </c>
      <c r="B20" s="1" t="s">
        <v>183</v>
      </c>
      <c r="C20" s="34" t="n">
        <f aca="false">G19</f>
        <v>8429252214.99978</v>
      </c>
      <c r="D20" s="51" t="n">
        <f aca="false">IF(17=Assumptions!$B$37,Assumptions!$B$36,0)</f>
        <v>0</v>
      </c>
      <c r="E20" s="51" t="n">
        <f aca="false">IF(17=3,Assumptions!$B$40,0)+IF(17=6,Headcount!C20*Assumptions!$B$41,0)+IF(17=9,Assumptions!$B$42,0)+IF(17=12,Assumptions!$B$43*Assumptions!$B$47,0)+IF(17=15,Assumptions!$B$44,0)+IF(17=18,Assumptions!$B$45,0)+IF(17=24,Assumptions!$B$46,0)</f>
        <v>0</v>
      </c>
      <c r="F20" s="52" t="n">
        <f aca="false">PnL!R14</f>
        <v>-42804165.8925138</v>
      </c>
      <c r="G20" s="47" t="n">
        <f aca="false">C20+D20+E20+F20</f>
        <v>8386448049.10726</v>
      </c>
      <c r="H20" s="53" t="n">
        <f aca="false">G20/Assumptions!$B$4</f>
        <v>5990320.03507662</v>
      </c>
    </row>
    <row r="21" customFormat="false" ht="15" hidden="false" customHeight="true" outlineLevel="0" collapsed="false">
      <c r="A21" s="1" t="n">
        <v>18</v>
      </c>
      <c r="B21" s="1" t="s">
        <v>184</v>
      </c>
      <c r="C21" s="34" t="n">
        <f aca="false">G20</f>
        <v>8386448049.10726</v>
      </c>
      <c r="D21" s="51" t="n">
        <f aca="false">IF(18=Assumptions!$B$37,Assumptions!$B$36,0)</f>
        <v>0</v>
      </c>
      <c r="E21" s="51" t="n">
        <f aca="false">IF(18=3,Assumptions!$B$40,0)+IF(18=6,Headcount!C21*Assumptions!$B$41,0)+IF(18=9,Assumptions!$B$42,0)+IF(18=12,Assumptions!$B$43*Assumptions!$B$47,0)+IF(18=15,Assumptions!$B$44,0)+IF(18=18,Assumptions!$B$45,0)+IF(18=24,Assumptions!$B$46,0)</f>
        <v>100000000</v>
      </c>
      <c r="F21" s="52" t="n">
        <f aca="false">PnL!S14</f>
        <v>-41340665.7996154</v>
      </c>
      <c r="G21" s="47" t="n">
        <f aca="false">C21+D21+E21+F21</f>
        <v>8445107383.30765</v>
      </c>
      <c r="H21" s="53" t="n">
        <f aca="false">G21/Assumptions!$B$4</f>
        <v>6032219.55950546</v>
      </c>
    </row>
    <row r="22" customFormat="false" ht="15" hidden="false" customHeight="true" outlineLevel="0" collapsed="false">
      <c r="A22" s="1" t="n">
        <v>19</v>
      </c>
      <c r="B22" s="1" t="s">
        <v>185</v>
      </c>
      <c r="C22" s="34" t="n">
        <f aca="false">G21</f>
        <v>8445107383.30765</v>
      </c>
      <c r="D22" s="51" t="n">
        <f aca="false">IF(19=Assumptions!$B$37,Assumptions!$B$36,0)</f>
        <v>0</v>
      </c>
      <c r="E22" s="51" t="n">
        <f aca="false">IF(19=3,Assumptions!$B$40,0)+IF(19=6,Headcount!C22*Assumptions!$B$41,0)+IF(19=9,Assumptions!$B$42,0)+IF(19=12,Assumptions!$B$43*Assumptions!$B$47,0)+IF(19=15,Assumptions!$B$44,0)+IF(19=18,Assumptions!$B$45,0)+IF(19=24,Assumptions!$B$46,0)</f>
        <v>0</v>
      </c>
      <c r="F22" s="52" t="n">
        <f aca="false">PnL!T14</f>
        <v>-39701545.6955693</v>
      </c>
      <c r="G22" s="47" t="n">
        <f aca="false">C22+D22+E22+F22</f>
        <v>8405405837.61208</v>
      </c>
      <c r="H22" s="53" t="n">
        <f aca="false">G22/Assumptions!$B$4</f>
        <v>6003861.31258006</v>
      </c>
    </row>
    <row r="23" customFormat="false" ht="15" hidden="false" customHeight="true" outlineLevel="0" collapsed="false">
      <c r="A23" s="1" t="n">
        <v>20</v>
      </c>
      <c r="B23" s="1" t="s">
        <v>186</v>
      </c>
      <c r="C23" s="34" t="n">
        <f aca="false">G22</f>
        <v>8405405837.61208</v>
      </c>
      <c r="D23" s="51" t="n">
        <f aca="false">IF(20=Assumptions!$B$37,Assumptions!$B$36,0)</f>
        <v>0</v>
      </c>
      <c r="E23" s="51" t="n">
        <f aca="false">IF(20=3,Assumptions!$B$40,0)+IF(20=6,Headcount!C23*Assumptions!$B$41,0)+IF(20=9,Assumptions!$B$42,0)+IF(20=12,Assumptions!$B$43*Assumptions!$B$47,0)+IF(20=15,Assumptions!$B$44,0)+IF(20=18,Assumptions!$B$45,0)+IF(20=24,Assumptions!$B$46,0)</f>
        <v>0</v>
      </c>
      <c r="F23" s="52" t="n">
        <f aca="false">PnL!U14</f>
        <v>-37865731.1790376</v>
      </c>
      <c r="G23" s="47" t="n">
        <f aca="false">C23+D23+E23+F23</f>
        <v>8367540106.43304</v>
      </c>
      <c r="H23" s="53" t="n">
        <f aca="false">G23/Assumptions!$B$4</f>
        <v>5976814.36173789</v>
      </c>
    </row>
    <row r="24" customFormat="false" ht="15" hidden="false" customHeight="true" outlineLevel="0" collapsed="false">
      <c r="A24" s="1" t="n">
        <v>21</v>
      </c>
      <c r="B24" s="1" t="s">
        <v>187</v>
      </c>
      <c r="C24" s="34" t="n">
        <f aca="false">G23</f>
        <v>8367540106.43304</v>
      </c>
      <c r="D24" s="51" t="n">
        <f aca="false">IF(21=Assumptions!$B$37,Assumptions!$B$36,0)</f>
        <v>0</v>
      </c>
      <c r="E24" s="51" t="n">
        <f aca="false">IF(21=3,Assumptions!$B$40,0)+IF(21=6,Headcount!C24*Assumptions!$B$41,0)+IF(21=9,Assumptions!$B$42,0)+IF(21=12,Assumptions!$B$43*Assumptions!$B$47,0)+IF(21=15,Assumptions!$B$44,0)+IF(21=18,Assumptions!$B$45,0)+IF(21=24,Assumptions!$B$46,0)</f>
        <v>0</v>
      </c>
      <c r="F24" s="52" t="n">
        <f aca="false">PnL!V14</f>
        <v>-35809618.9205221</v>
      </c>
      <c r="G24" s="47" t="n">
        <f aca="false">C24+D24+E24+F24</f>
        <v>8331730487.51252</v>
      </c>
      <c r="H24" s="53" t="n">
        <f aca="false">G24/Assumptions!$B$4</f>
        <v>5951236.06250894</v>
      </c>
    </row>
    <row r="25" customFormat="false" ht="15" hidden="false" customHeight="true" outlineLevel="0" collapsed="false">
      <c r="A25" s="1" t="n">
        <v>22</v>
      </c>
      <c r="B25" s="1" t="s">
        <v>188</v>
      </c>
      <c r="C25" s="34" t="n">
        <f aca="false">G24</f>
        <v>8331730487.51252</v>
      </c>
      <c r="D25" s="51" t="n">
        <f aca="false">IF(22=Assumptions!$B$37,Assumptions!$B$36,0)</f>
        <v>0</v>
      </c>
      <c r="E25" s="51" t="n">
        <f aca="false">IF(22=3,Assumptions!$B$40,0)+IF(22=6,Headcount!C25*Assumptions!$B$41,0)+IF(22=9,Assumptions!$B$42,0)+IF(22=12,Assumptions!$B$43*Assumptions!$B$47,0)+IF(22=15,Assumptions!$B$44,0)+IF(22=18,Assumptions!$B$45,0)+IF(22=24,Assumptions!$B$46,0)</f>
        <v>0</v>
      </c>
      <c r="F25" s="52" t="n">
        <f aca="false">PnL!W14</f>
        <v>-33506773.1909847</v>
      </c>
      <c r="G25" s="47" t="n">
        <f aca="false">C25+D25+E25+F25</f>
        <v>8298223714.32153</v>
      </c>
      <c r="H25" s="53" t="n">
        <f aca="false">G25/Assumptions!$B$4</f>
        <v>5927302.65308681</v>
      </c>
    </row>
    <row r="26" customFormat="false" ht="15" hidden="false" customHeight="true" outlineLevel="0" collapsed="false">
      <c r="A26" s="1" t="n">
        <v>23</v>
      </c>
      <c r="B26" s="1" t="s">
        <v>189</v>
      </c>
      <c r="C26" s="34" t="n">
        <f aca="false">G25</f>
        <v>8298223714.32153</v>
      </c>
      <c r="D26" s="51" t="n">
        <f aca="false">IF(23=Assumptions!$B$37,Assumptions!$B$36,0)</f>
        <v>0</v>
      </c>
      <c r="E26" s="51" t="n">
        <f aca="false">IF(23=3,Assumptions!$B$40,0)+IF(23=6,Headcount!C26*Assumptions!$B$41,0)+IF(23=9,Assumptions!$B$42,0)+IF(23=12,Assumptions!$B$43*Assumptions!$B$47,0)+IF(23=15,Assumptions!$B$44,0)+IF(23=18,Assumptions!$B$45,0)+IF(23=24,Assumptions!$B$46,0)</f>
        <v>0</v>
      </c>
      <c r="F26" s="52" t="n">
        <f aca="false">PnL!X14</f>
        <v>-30927585.9739029</v>
      </c>
      <c r="G26" s="47" t="n">
        <f aca="false">C26+D26+E26+F26</f>
        <v>8267296128.34763</v>
      </c>
      <c r="H26" s="53" t="n">
        <f aca="false">G26/Assumptions!$B$4</f>
        <v>5905211.52024831</v>
      </c>
    </row>
    <row r="27" customFormat="false" ht="15" hidden="false" customHeight="true" outlineLevel="0" collapsed="false">
      <c r="A27" s="1" t="n">
        <v>24</v>
      </c>
      <c r="B27" s="1" t="s">
        <v>190</v>
      </c>
      <c r="C27" s="34" t="n">
        <f aca="false">G26</f>
        <v>8267296128.34763</v>
      </c>
      <c r="D27" s="51" t="n">
        <f aca="false">IF(24=Assumptions!$B$37,Assumptions!$B$36,0)</f>
        <v>0</v>
      </c>
      <c r="E27" s="51" t="n">
        <f aca="false">IF(24=3,Assumptions!$B$40,0)+IF(24=6,Headcount!C27*Assumptions!$B$41,0)+IF(24=9,Assumptions!$B$42,0)+IF(24=12,Assumptions!$B$43*Assumptions!$B$47,0)+IF(24=15,Assumptions!$B$44,0)+IF(24=18,Assumptions!$B$45,0)+IF(24=24,Assumptions!$B$46,0)</f>
        <v>50000000</v>
      </c>
      <c r="F27" s="52" t="n">
        <f aca="false">PnL!Y14</f>
        <v>-28038896.2907712</v>
      </c>
      <c r="G27" s="47" t="n">
        <f aca="false">C27+D27+E27+F27</f>
        <v>8289257232.05686</v>
      </c>
      <c r="H27" s="53" t="n">
        <f aca="false">G27/Assumptions!$B$4</f>
        <v>5920898.02289776</v>
      </c>
    </row>
    <row r="28" customFormat="false" ht="15" hidden="false" customHeight="true" outlineLevel="0" collapsed="false">
      <c r="A28" s="1" t="n">
        <v>25</v>
      </c>
      <c r="B28" s="1" t="s">
        <v>191</v>
      </c>
      <c r="C28" s="34" t="n">
        <f aca="false">G27</f>
        <v>8289257232.05686</v>
      </c>
      <c r="D28" s="51" t="n">
        <f aca="false">IF(25=Assumptions!$B$37,Assumptions!$B$36,0)</f>
        <v>0</v>
      </c>
      <c r="E28" s="51" t="n">
        <f aca="false">IF(25=3,Assumptions!$B$40,0)+IF(25=6,Headcount!C28*Assumptions!$B$41,0)+IF(25=9,Assumptions!$B$42,0)+IF(25=12,Assumptions!$B$43*Assumptions!$B$47,0)+IF(25=15,Assumptions!$B$44,0)+IF(25=18,Assumptions!$B$45,0)+IF(25=24,Assumptions!$B$46,0)</f>
        <v>0</v>
      </c>
      <c r="F28" s="52" t="n">
        <f aca="false">PnL!Z14</f>
        <v>-39276537.5852719</v>
      </c>
      <c r="G28" s="47" t="n">
        <f aca="false">C28+D28+E28+F28</f>
        <v>8249980694.47159</v>
      </c>
      <c r="H28" s="53" t="n">
        <f aca="false">G28/Assumptions!$B$4</f>
        <v>5892843.35319399</v>
      </c>
    </row>
    <row r="29" customFormat="false" ht="15" hidden="false" customHeight="true" outlineLevel="0" collapsed="false">
      <c r="A29" s="1" t="n">
        <v>26</v>
      </c>
      <c r="B29" s="1" t="s">
        <v>192</v>
      </c>
      <c r="C29" s="34" t="n">
        <f aca="false">G28</f>
        <v>8249980694.47159</v>
      </c>
      <c r="D29" s="51" t="n">
        <f aca="false">IF(26=Assumptions!$B$37,Assumptions!$B$36,0)</f>
        <v>0</v>
      </c>
      <c r="E29" s="51" t="n">
        <f aca="false">IF(26=3,Assumptions!$B$40,0)+IF(26=6,Headcount!C29*Assumptions!$B$41,0)+IF(26=9,Assumptions!$B$42,0)+IF(26=12,Assumptions!$B$43*Assumptions!$B$47,0)+IF(26=15,Assumptions!$B$44,0)+IF(26=18,Assumptions!$B$45,0)+IF(26=24,Assumptions!$B$46,0)</f>
        <v>0</v>
      </c>
      <c r="F29" s="52" t="n">
        <f aca="false">PnL!AA14</f>
        <v>-37133129.8403882</v>
      </c>
      <c r="G29" s="47" t="n">
        <f aca="false">C29+D29+E29+F29</f>
        <v>8212847564.6312</v>
      </c>
      <c r="H29" s="53" t="n">
        <f aca="false">G29/Assumptions!$B$4</f>
        <v>5866319.68902229</v>
      </c>
    </row>
    <row r="30" customFormat="false" ht="15" hidden="false" customHeight="true" outlineLevel="0" collapsed="false">
      <c r="A30" s="1" t="n">
        <v>27</v>
      </c>
      <c r="B30" s="1" t="s">
        <v>193</v>
      </c>
      <c r="C30" s="34" t="n">
        <f aca="false">G29</f>
        <v>8212847564.6312</v>
      </c>
      <c r="D30" s="51" t="n">
        <f aca="false">IF(27=Assumptions!$B$37,Assumptions!$B$36,0)</f>
        <v>0</v>
      </c>
      <c r="E30" s="51" t="n">
        <f aca="false">IF(27=3,Assumptions!$B$40,0)+IF(27=6,Headcount!C30*Assumptions!$B$41,0)+IF(27=9,Assumptions!$B$42,0)+IF(27=12,Assumptions!$B$43*Assumptions!$B$47,0)+IF(27=15,Assumptions!$B$44,0)+IF(27=18,Assumptions!$B$45,0)+IF(27=24,Assumptions!$B$46,0)</f>
        <v>0</v>
      </c>
      <c r="F30" s="52" t="n">
        <f aca="false">PnL!AB14</f>
        <v>-34861117.6308115</v>
      </c>
      <c r="G30" s="47" t="n">
        <f aca="false">C30+D30+E30+F30</f>
        <v>8177986447.00039</v>
      </c>
      <c r="H30" s="53" t="n">
        <f aca="false">G30/Assumptions!$B$4</f>
        <v>5841418.89071456</v>
      </c>
    </row>
    <row r="31" customFormat="false" ht="15" hidden="false" customHeight="true" outlineLevel="0" collapsed="false">
      <c r="A31" s="1" t="n">
        <v>28</v>
      </c>
      <c r="B31" s="1" t="s">
        <v>194</v>
      </c>
      <c r="C31" s="34" t="n">
        <f aca="false">G30</f>
        <v>8177986447.00039</v>
      </c>
      <c r="D31" s="51" t="n">
        <f aca="false">IF(28=Assumptions!$B$37,Assumptions!$B$36,0)</f>
        <v>0</v>
      </c>
      <c r="E31" s="51" t="n">
        <f aca="false">IF(28=3,Assumptions!$B$40,0)+IF(28=6,Headcount!C31*Assumptions!$B$41,0)+IF(28=9,Assumptions!$B$42,0)+IF(28=12,Assumptions!$B$43*Assumptions!$B$47,0)+IF(28=15,Assumptions!$B$44,0)+IF(28=18,Assumptions!$B$45,0)+IF(28=24,Assumptions!$B$46,0)</f>
        <v>0</v>
      </c>
      <c r="F31" s="52" t="n">
        <f aca="false">PnL!AC14</f>
        <v>-32452784.6886601</v>
      </c>
      <c r="G31" s="47" t="n">
        <f aca="false">C31+D31+E31+F31</f>
        <v>8145533662.31173</v>
      </c>
      <c r="H31" s="53" t="n">
        <f aca="false">G31/Assumptions!$B$4</f>
        <v>5818238.33022266</v>
      </c>
    </row>
    <row r="32" customFormat="false" ht="15" hidden="false" customHeight="true" outlineLevel="0" collapsed="false">
      <c r="A32" s="1" t="n">
        <v>29</v>
      </c>
      <c r="B32" s="1" t="s">
        <v>195</v>
      </c>
      <c r="C32" s="34" t="n">
        <f aca="false">G31</f>
        <v>8145533662.31173</v>
      </c>
      <c r="D32" s="51" t="n">
        <f aca="false">IF(29=Assumptions!$B$37,Assumptions!$B$36,0)</f>
        <v>0</v>
      </c>
      <c r="E32" s="51" t="n">
        <f aca="false">IF(29=3,Assumptions!$B$40,0)+IF(29=6,Headcount!C32*Assumptions!$B$41,0)+IF(29=9,Assumptions!$B$42,0)+IF(29=12,Assumptions!$B$43*Assumptions!$B$47,0)+IF(29=15,Assumptions!$B$44,0)+IF(29=18,Assumptions!$B$45,0)+IF(29=24,Assumptions!$B$46,0)</f>
        <v>0</v>
      </c>
      <c r="F32" s="52" t="n">
        <f aca="false">PnL!AD14</f>
        <v>-29899951.7699798</v>
      </c>
      <c r="G32" s="47" t="n">
        <f aca="false">C32+D32+E32+F32</f>
        <v>8115633710.54175</v>
      </c>
      <c r="H32" s="53" t="n">
        <f aca="false">G32/Assumptions!$B$4</f>
        <v>5796881.22181553</v>
      </c>
    </row>
    <row r="33" customFormat="false" ht="15" hidden="false" customHeight="true" outlineLevel="0" collapsed="false">
      <c r="A33" s="1" t="n">
        <v>30</v>
      </c>
      <c r="B33" s="1" t="s">
        <v>196</v>
      </c>
      <c r="C33" s="34" t="n">
        <f aca="false">G32</f>
        <v>8115633710.54175</v>
      </c>
      <c r="D33" s="51" t="n">
        <f aca="false">IF(30=Assumptions!$B$37,Assumptions!$B$36,0)</f>
        <v>0</v>
      </c>
      <c r="E33" s="51" t="n">
        <f aca="false">IF(30=3,Assumptions!$B$40,0)+IF(30=6,Headcount!C33*Assumptions!$B$41,0)+IF(30=9,Assumptions!$B$42,0)+IF(30=12,Assumptions!$B$43*Assumptions!$B$47,0)+IF(30=15,Assumptions!$B$44,0)+IF(30=18,Assumptions!$B$45,0)+IF(30=24,Assumptions!$B$46,0)</f>
        <v>0</v>
      </c>
      <c r="F33" s="52" t="n">
        <f aca="false">PnL!AE14</f>
        <v>-27193948.8761786</v>
      </c>
      <c r="G33" s="47" t="n">
        <f aca="false">C33+D33+E33+F33</f>
        <v>8088439761.66557</v>
      </c>
      <c r="H33" s="53" t="n">
        <f aca="false">G33/Assumptions!$B$4</f>
        <v>5777456.97261826</v>
      </c>
    </row>
    <row r="34" customFormat="false" ht="15" hidden="false" customHeight="true" outlineLevel="0" collapsed="false">
      <c r="A34" s="1" t="n">
        <v>31</v>
      </c>
      <c r="B34" s="1" t="s">
        <v>197</v>
      </c>
      <c r="C34" s="34" t="n">
        <f aca="false">G33</f>
        <v>8088439761.66557</v>
      </c>
      <c r="D34" s="51" t="n">
        <f aca="false">IF(31=Assumptions!$B$37,Assumptions!$B$36,0)</f>
        <v>0</v>
      </c>
      <c r="E34" s="51" t="n">
        <f aca="false">IF(31=3,Assumptions!$B$40,0)+IF(31=6,Headcount!C34*Assumptions!$B$41,0)+IF(31=9,Assumptions!$B$42,0)+IF(31=12,Assumptions!$B$43*Assumptions!$B$47,0)+IF(31=15,Assumptions!$B$44,0)+IF(31=18,Assumptions!$B$45,0)+IF(31=24,Assumptions!$B$46,0)</f>
        <v>0</v>
      </c>
      <c r="F34" s="52" t="n">
        <f aca="false">PnL!AF14</f>
        <v>-24325585.8087493</v>
      </c>
      <c r="G34" s="47" t="n">
        <f aca="false">C34+D34+E34+F34</f>
        <v>8064114175.85682</v>
      </c>
      <c r="H34" s="53" t="n">
        <f aca="false">G34/Assumptions!$B$4</f>
        <v>5760081.55418344</v>
      </c>
    </row>
    <row r="35" customFormat="false" ht="15" hidden="false" customHeight="true" outlineLevel="0" collapsed="false">
      <c r="A35" s="1" t="n">
        <v>32</v>
      </c>
      <c r="B35" s="1" t="s">
        <v>198</v>
      </c>
      <c r="C35" s="34" t="n">
        <f aca="false">G34</f>
        <v>8064114175.85682</v>
      </c>
      <c r="D35" s="51" t="n">
        <f aca="false">IF(32=Assumptions!$B$37,Assumptions!$B$36,0)</f>
        <v>0</v>
      </c>
      <c r="E35" s="51" t="n">
        <f aca="false">IF(32=3,Assumptions!$B$40,0)+IF(32=6,Headcount!C35*Assumptions!$B$41,0)+IF(32=9,Assumptions!$B$42,0)+IF(32=12,Assumptions!$B$43*Assumptions!$B$47,0)+IF(32=15,Assumptions!$B$44,0)+IF(32=18,Assumptions!$B$45,0)+IF(32=24,Assumptions!$B$46,0)</f>
        <v>0</v>
      </c>
      <c r="F35" s="52" t="n">
        <f aca="false">PnL!AG14</f>
        <v>-21285120.9572742</v>
      </c>
      <c r="G35" s="47" t="n">
        <f aca="false">C35+D35+E35+F35</f>
        <v>8042829054.89955</v>
      </c>
      <c r="H35" s="53" t="n">
        <f aca="false">G35/Assumptions!$B$4</f>
        <v>5744877.89635682</v>
      </c>
    </row>
    <row r="36" customFormat="false" ht="15" hidden="false" customHeight="true" outlineLevel="0" collapsed="false">
      <c r="A36" s="1" t="n">
        <v>33</v>
      </c>
      <c r="B36" s="1" t="s">
        <v>199</v>
      </c>
      <c r="C36" s="34" t="n">
        <f aca="false">G35</f>
        <v>8042829054.89955</v>
      </c>
      <c r="D36" s="51" t="n">
        <f aca="false">IF(33=Assumptions!$B$37,Assumptions!$B$36,0)</f>
        <v>0</v>
      </c>
      <c r="E36" s="51" t="n">
        <f aca="false">IF(33=3,Assumptions!$B$40,0)+IF(33=6,Headcount!C36*Assumptions!$B$41,0)+IF(33=9,Assumptions!$B$42,0)+IF(33=12,Assumptions!$B$43*Assumptions!$B$47,0)+IF(33=15,Assumptions!$B$44,0)+IF(33=18,Assumptions!$B$45,0)+IF(33=24,Assumptions!$B$46,0)</f>
        <v>0</v>
      </c>
      <c r="F36" s="52" t="n">
        <f aca="false">PnL!AH14</f>
        <v>-18062228.2147107</v>
      </c>
      <c r="G36" s="47" t="n">
        <f aca="false">C36+D36+E36+F36</f>
        <v>8024766826.68484</v>
      </c>
      <c r="H36" s="53" t="n">
        <f aca="false">G36/Assumptions!$B$4</f>
        <v>5731976.30477488</v>
      </c>
    </row>
    <row r="37" customFormat="false" ht="15" hidden="false" customHeight="true" outlineLevel="0" collapsed="false">
      <c r="A37" s="1" t="n">
        <v>34</v>
      </c>
      <c r="B37" s="1" t="s">
        <v>200</v>
      </c>
      <c r="C37" s="34" t="n">
        <f aca="false">G36</f>
        <v>8024766826.68484</v>
      </c>
      <c r="D37" s="51" t="n">
        <f aca="false">IF(34=Assumptions!$B$37,Assumptions!$B$36,0)</f>
        <v>0</v>
      </c>
      <c r="E37" s="51" t="n">
        <f aca="false">IF(34=3,Assumptions!$B$40,0)+IF(34=6,Headcount!C37*Assumptions!$B$41,0)+IF(34=9,Assumptions!$B$42,0)+IF(34=12,Assumptions!$B$43*Assumptions!$B$47,0)+IF(34=15,Assumptions!$B$44,0)+IF(34=18,Assumptions!$B$45,0)+IF(34=24,Assumptions!$B$46,0)</f>
        <v>0</v>
      </c>
      <c r="F37" s="52" t="n">
        <f aca="false">PnL!AI14</f>
        <v>-14645961.9075933</v>
      </c>
      <c r="G37" s="47" t="n">
        <f aca="false">C37+D37+E37+F37</f>
        <v>8010120864.77724</v>
      </c>
      <c r="H37" s="53" t="n">
        <f aca="false">G37/Assumptions!$B$4</f>
        <v>5721514.90341232</v>
      </c>
    </row>
    <row r="38" customFormat="false" ht="15" hidden="false" customHeight="true" outlineLevel="0" collapsed="false">
      <c r="A38" s="1" t="n">
        <v>35</v>
      </c>
      <c r="B38" s="1" t="s">
        <v>201</v>
      </c>
      <c r="C38" s="34" t="n">
        <f aca="false">G37</f>
        <v>8010120864.77724</v>
      </c>
      <c r="D38" s="51" t="n">
        <f aca="false">IF(35=Assumptions!$B$37,Assumptions!$B$36,0)</f>
        <v>0</v>
      </c>
      <c r="E38" s="51" t="n">
        <f aca="false">IF(35=3,Assumptions!$B$40,0)+IF(35=6,Headcount!C38*Assumptions!$B$41,0)+IF(35=9,Assumptions!$B$42,0)+IF(35=12,Assumptions!$B$43*Assumptions!$B$47,0)+IF(35=15,Assumptions!$B$44,0)+IF(35=18,Assumptions!$B$45,0)+IF(35=24,Assumptions!$B$46,0)</f>
        <v>0</v>
      </c>
      <c r="F38" s="52" t="n">
        <f aca="false">PnL!AJ14</f>
        <v>-11024719.6220489</v>
      </c>
      <c r="G38" s="47" t="n">
        <f aca="false">C38+D38+E38+F38</f>
        <v>7999096145.15519</v>
      </c>
      <c r="H38" s="53" t="n">
        <f aca="false">G38/Assumptions!$B$4</f>
        <v>5713640.10368228</v>
      </c>
    </row>
    <row r="39" customFormat="false" ht="15" hidden="false" customHeight="true" outlineLevel="0" collapsed="false">
      <c r="A39" s="1" t="n">
        <v>36</v>
      </c>
      <c r="B39" s="1" t="s">
        <v>202</v>
      </c>
      <c r="C39" s="34" t="n">
        <f aca="false">G38</f>
        <v>7999096145.15519</v>
      </c>
      <c r="D39" s="51" t="n">
        <f aca="false">IF(36=Assumptions!$B$37,Assumptions!$B$36,0)</f>
        <v>0</v>
      </c>
      <c r="E39" s="51" t="n">
        <f aca="false">IF(36=3,Assumptions!$B$40,0)+IF(36=6,Headcount!C39*Assumptions!$B$41,0)+IF(36=9,Assumptions!$B$42,0)+IF(36=12,Assumptions!$B$43*Assumptions!$B$47,0)+IF(36=15,Assumptions!$B$44,0)+IF(36=18,Assumptions!$B$45,0)+IF(36=24,Assumptions!$B$46,0)</f>
        <v>0</v>
      </c>
      <c r="F39" s="52" t="n">
        <f aca="false">PnL!AK14</f>
        <v>-7186202.79937187</v>
      </c>
      <c r="G39" s="47" t="n">
        <f aca="false">C39+D39+E39+F39</f>
        <v>7991909942.35582</v>
      </c>
      <c r="H39" s="53" t="n">
        <f aca="false">G39/Assumptions!$B$4</f>
        <v>5708507.10168273</v>
      </c>
    </row>
    <row r="40" customFormat="false" ht="15" hidden="false" customHeight="true" outlineLevel="0" collapsed="false">
      <c r="A40" s="27" t="s">
        <v>273</v>
      </c>
      <c r="D40" s="36" t="n">
        <f aca="false">SUM(D4:D39)</f>
        <v>8000000000</v>
      </c>
    </row>
    <row r="41" customFormat="false" ht="15" hidden="false" customHeight="true" outlineLevel="0" collapsed="false">
      <c r="A41" s="27" t="s">
        <v>274</v>
      </c>
      <c r="E41" s="36" t="n">
        <f aca="false">SUM(E4:E39)</f>
        <v>1123200000</v>
      </c>
    </row>
    <row r="42" customFormat="false" ht="15" hidden="false" customHeight="true" outlineLevel="0" collapsed="false">
      <c r="A42" s="27" t="s">
        <v>275</v>
      </c>
      <c r="F42" s="54" t="n">
        <f aca="false">SUM(F4:F39)</f>
        <v>-1231290057.64418</v>
      </c>
    </row>
    <row r="43" customFormat="false" ht="15" hidden="false" customHeight="true" outlineLevel="0" collapsed="false">
      <c r="A43" s="27" t="s">
        <v>276</v>
      </c>
      <c r="G43" s="55" t="n">
        <f aca="false">G39</f>
        <v>7991909942.35582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8"/>
    <col collapsed="false" customWidth="true" hidden="false" outlineLevel="0" max="3" min="3" style="1" width="22"/>
    <col collapsed="false" customWidth="true" hidden="false" outlineLevel="0" max="4" min="4" style="1" width="50"/>
  </cols>
  <sheetData>
    <row r="1" customFormat="false" ht="20.25" hidden="false" customHeight="true" outlineLevel="0" collapsed="false">
      <c r="A1" s="11" t="s">
        <v>277</v>
      </c>
      <c r="B1" s="11"/>
      <c r="C1" s="11"/>
      <c r="D1" s="11"/>
      <c r="E1" s="11"/>
      <c r="F1" s="11"/>
    </row>
    <row r="3" customFormat="false" ht="16.5" hidden="false" customHeight="true" outlineLevel="0" collapsed="false">
      <c r="A3" s="44" t="s">
        <v>278</v>
      </c>
    </row>
    <row r="5" customFormat="false" ht="16.5" hidden="false" customHeight="true" outlineLevel="0" collapsed="false">
      <c r="A5" s="56" t="s">
        <v>279</v>
      </c>
      <c r="B5" s="56" t="s">
        <v>280</v>
      </c>
      <c r="C5" s="25" t="s">
        <v>281</v>
      </c>
      <c r="D5" s="56" t="s">
        <v>282</v>
      </c>
      <c r="E5" s="56" t="s">
        <v>283</v>
      </c>
    </row>
    <row r="6" customFormat="false" ht="15" hidden="false" customHeight="true" outlineLevel="0" collapsed="false">
      <c r="A6" s="20" t="s">
        <v>284</v>
      </c>
      <c r="B6" s="57" t="s">
        <v>285</v>
      </c>
      <c r="C6" s="13" t="s">
        <v>286</v>
      </c>
      <c r="D6" s="20" t="s">
        <v>287</v>
      </c>
      <c r="E6" s="13" t="s">
        <v>288</v>
      </c>
    </row>
    <row r="7" customFormat="false" ht="15" hidden="false" customHeight="true" outlineLevel="0" collapsed="false">
      <c r="A7" s="58" t="s">
        <v>289</v>
      </c>
      <c r="B7" s="59" t="s">
        <v>290</v>
      </c>
      <c r="C7" s="59" t="s">
        <v>291</v>
      </c>
      <c r="D7" s="59" t="s">
        <v>292</v>
      </c>
      <c r="E7" s="59" t="s">
        <v>293</v>
      </c>
    </row>
    <row r="8" customFormat="false" ht="15" hidden="false" customHeight="true" outlineLevel="0" collapsed="false">
      <c r="A8" s="20" t="s">
        <v>294</v>
      </c>
      <c r="B8" s="57" t="s">
        <v>295</v>
      </c>
      <c r="C8" s="13" t="s">
        <v>296</v>
      </c>
      <c r="D8" s="13" t="s">
        <v>297</v>
      </c>
      <c r="E8" s="13" t="s">
        <v>298</v>
      </c>
    </row>
    <row r="10" customFormat="false" ht="16.5" hidden="false" customHeight="true" outlineLevel="0" collapsed="false">
      <c r="A10" s="44" t="s">
        <v>299</v>
      </c>
    </row>
    <row r="12" customFormat="false" ht="16.5" hidden="false" customHeight="true" outlineLevel="0" collapsed="false">
      <c r="A12" s="25" t="s">
        <v>300</v>
      </c>
      <c r="B12" s="56" t="s">
        <v>301</v>
      </c>
      <c r="C12" s="56" t="s">
        <v>302</v>
      </c>
      <c r="D12" s="56" t="s">
        <v>303</v>
      </c>
    </row>
    <row r="13" customFormat="false" ht="15" hidden="false" customHeight="true" outlineLevel="0" collapsed="false">
      <c r="A13" s="20" t="s">
        <v>304</v>
      </c>
      <c r="B13" s="60" t="n">
        <v>0.35</v>
      </c>
      <c r="C13" s="34" t="n">
        <f aca="false">B13*8000000000</f>
        <v>2800000000</v>
      </c>
      <c r="D13" s="61" t="s">
        <v>305</v>
      </c>
    </row>
    <row r="14" customFormat="false" ht="15" hidden="false" customHeight="true" outlineLevel="0" collapsed="false">
      <c r="A14" s="20" t="s">
        <v>306</v>
      </c>
      <c r="B14" s="60" t="n">
        <v>0.25</v>
      </c>
      <c r="C14" s="34" t="n">
        <f aca="false">B14*8000000000</f>
        <v>2000000000</v>
      </c>
      <c r="D14" s="62" t="s">
        <v>307</v>
      </c>
    </row>
    <row r="15" customFormat="false" ht="15" hidden="false" customHeight="true" outlineLevel="0" collapsed="false">
      <c r="A15" s="20" t="s">
        <v>308</v>
      </c>
      <c r="B15" s="60" t="n">
        <v>0.2</v>
      </c>
      <c r="C15" s="34" t="n">
        <f aca="false">B15*8000000000</f>
        <v>1600000000</v>
      </c>
      <c r="D15" s="62" t="s">
        <v>309</v>
      </c>
    </row>
    <row r="16" customFormat="false" ht="15" hidden="false" customHeight="true" outlineLevel="0" collapsed="false">
      <c r="A16" s="20" t="s">
        <v>310</v>
      </c>
      <c r="B16" s="60" t="n">
        <v>0.1</v>
      </c>
      <c r="C16" s="34" t="n">
        <f aca="false">B16*8000000000</f>
        <v>800000000</v>
      </c>
      <c r="D16" s="62" t="s">
        <v>311</v>
      </c>
    </row>
    <row r="17" customFormat="false" ht="15" hidden="false" customHeight="true" outlineLevel="0" collapsed="false">
      <c r="A17" s="20" t="s">
        <v>312</v>
      </c>
      <c r="B17" s="60" t="n">
        <v>0.05</v>
      </c>
      <c r="C17" s="34" t="n">
        <f aca="false">B17*8000000000</f>
        <v>400000000</v>
      </c>
      <c r="D17" s="62" t="s">
        <v>313</v>
      </c>
    </row>
    <row r="18" customFormat="false" ht="15" hidden="false" customHeight="true" outlineLevel="0" collapsed="false">
      <c r="A18" s="20" t="s">
        <v>314</v>
      </c>
      <c r="B18" s="60" t="n">
        <v>0.05</v>
      </c>
      <c r="C18" s="34" t="n">
        <f aca="false">B18*8000000000</f>
        <v>400000000</v>
      </c>
      <c r="D18" s="61" t="s">
        <v>315</v>
      </c>
    </row>
    <row r="19" customFormat="false" ht="15" hidden="false" customHeight="true" outlineLevel="0" collapsed="false">
      <c r="A19" s="27" t="s">
        <v>316</v>
      </c>
      <c r="B19" s="63" t="n">
        <f aca="false">SUM(B13:B18)</f>
        <v>1</v>
      </c>
      <c r="C19" s="36" t="n">
        <f aca="false">SUM(C13:C18)</f>
        <v>8000000000</v>
      </c>
    </row>
    <row r="22" customFormat="false" ht="16.5" hidden="false" customHeight="true" outlineLevel="0" collapsed="false">
      <c r="A22" s="44" t="s">
        <v>317</v>
      </c>
    </row>
    <row r="24" customFormat="false" ht="16.5" hidden="false" customHeight="true" outlineLevel="0" collapsed="false">
      <c r="A24" s="64" t="s">
        <v>318</v>
      </c>
      <c r="B24" s="38" t="s">
        <v>319</v>
      </c>
      <c r="C24" s="64" t="s">
        <v>302</v>
      </c>
    </row>
    <row r="25" customFormat="false" ht="15" hidden="false" customHeight="true" outlineLevel="0" collapsed="false">
      <c r="A25" s="13" t="s">
        <v>320</v>
      </c>
      <c r="B25" s="13" t="s">
        <v>211</v>
      </c>
      <c r="C25" s="33" t="n">
        <f aca="false">Assumptions!$B$40</f>
        <v>30000000</v>
      </c>
    </row>
    <row r="26" customFormat="false" ht="15" hidden="false" customHeight="true" outlineLevel="0" collapsed="false">
      <c r="A26" s="20" t="s">
        <v>321</v>
      </c>
      <c r="B26" s="13" t="s">
        <v>214</v>
      </c>
      <c r="C26" s="33" t="n">
        <f aca="false">Headcount!C9*Assumptions!$B$41</f>
        <v>43200000</v>
      </c>
    </row>
    <row r="27" customFormat="false" ht="15" hidden="false" customHeight="true" outlineLevel="0" collapsed="false">
      <c r="A27" s="13" t="s">
        <v>322</v>
      </c>
      <c r="B27" s="13" t="s">
        <v>217</v>
      </c>
      <c r="C27" s="33" t="n">
        <f aca="false">Assumptions!$B$42</f>
        <v>30000000</v>
      </c>
    </row>
    <row r="28" customFormat="false" ht="15" hidden="false" customHeight="true" outlineLevel="0" collapsed="false">
      <c r="A28" s="13" t="s">
        <v>323</v>
      </c>
      <c r="B28" s="13" t="s">
        <v>220</v>
      </c>
      <c r="C28" s="33" t="n">
        <f aca="false">Assumptions!$B$43</f>
        <v>800000000</v>
      </c>
    </row>
    <row r="29" customFormat="false" ht="15" hidden="false" customHeight="true" outlineLevel="0" collapsed="false">
      <c r="A29" s="20" t="s">
        <v>324</v>
      </c>
      <c r="B29" s="13" t="s">
        <v>223</v>
      </c>
      <c r="C29" s="33" t="n">
        <f aca="false">Assumptions!$B$44</f>
        <v>70000000</v>
      </c>
    </row>
    <row r="30" customFormat="false" ht="15" hidden="false" customHeight="true" outlineLevel="0" collapsed="false">
      <c r="A30" s="20" t="s">
        <v>325</v>
      </c>
      <c r="B30" s="13" t="s">
        <v>226</v>
      </c>
      <c r="C30" s="33" t="n">
        <f aca="false">Assumptions!$B$45</f>
        <v>100000000</v>
      </c>
    </row>
    <row r="31" customFormat="false" ht="15" hidden="false" customHeight="true" outlineLevel="0" collapsed="false">
      <c r="A31" s="20" t="s">
        <v>326</v>
      </c>
      <c r="B31" s="13" t="s">
        <v>232</v>
      </c>
      <c r="C31" s="33" t="n">
        <f aca="false">Assumptions!$B$46</f>
        <v>50000000</v>
      </c>
    </row>
    <row r="32" customFormat="false" ht="15" hidden="false" customHeight="true" outlineLevel="0" collapsed="false">
      <c r="A32" s="5" t="s">
        <v>327</v>
      </c>
      <c r="B32" s="5"/>
      <c r="C32" s="36" t="n">
        <f aca="false">SUM(C25:C31)</f>
        <v>1123200000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22"/>
    <col collapsed="false" customWidth="true" hidden="false" outlineLevel="0" max="4" min="4" style="0" width="16"/>
    <col collapsed="false" customWidth="true" hidden="false" outlineLevel="0" max="5" min="5" style="0" width="24"/>
    <col collapsed="false" customWidth="true" hidden="false" outlineLevel="0" max="6" min="6" style="0" width="8"/>
  </cols>
  <sheetData>
    <row r="1" customFormat="false" ht="20.85" hidden="false" customHeight="false" outlineLevel="0" collapsed="false">
      <c r="A1" s="65" t="s">
        <v>328</v>
      </c>
      <c r="B1" s="65"/>
      <c r="C1" s="65"/>
      <c r="D1" s="65"/>
      <c r="E1" s="65"/>
      <c r="F1" s="65"/>
    </row>
    <row r="3" customFormat="false" ht="17.15" hidden="false" customHeight="false" outlineLevel="0" collapsed="false">
      <c r="A3" s="66" t="s">
        <v>329</v>
      </c>
      <c r="B3" s="66"/>
      <c r="C3" s="66"/>
      <c r="D3" s="66"/>
      <c r="E3" s="66"/>
      <c r="F3" s="66"/>
    </row>
    <row r="4" customFormat="false" ht="14.9" hidden="false" customHeight="false" outlineLevel="0" collapsed="false">
      <c r="A4" s="67" t="s">
        <v>330</v>
      </c>
      <c r="B4" s="67"/>
      <c r="C4" s="67"/>
      <c r="D4" s="67"/>
      <c r="E4" s="67"/>
      <c r="F4" s="67"/>
    </row>
    <row r="6" customFormat="false" ht="17.15" hidden="false" customHeight="false" outlineLevel="0" collapsed="false">
      <c r="A6" s="68" t="s">
        <v>331</v>
      </c>
      <c r="B6" s="68" t="s">
        <v>332</v>
      </c>
      <c r="C6" s="68" t="s">
        <v>333</v>
      </c>
      <c r="D6" s="68" t="s">
        <v>334</v>
      </c>
      <c r="E6" s="68" t="s">
        <v>335</v>
      </c>
    </row>
    <row r="7" customFormat="false" ht="15" hidden="false" customHeight="false" outlineLevel="0" collapsed="false">
      <c r="A7" s="21" t="s">
        <v>336</v>
      </c>
      <c r="B7" s="69" t="n">
        <f aca="false">Assumptions!$B$36</f>
        <v>8000000000</v>
      </c>
      <c r="C7" s="69" t="n">
        <f aca="false">Assumptions!$B$36</f>
        <v>8000000000</v>
      </c>
      <c r="E7" s="70" t="s">
        <v>337</v>
      </c>
    </row>
    <row r="8" customFormat="false" ht="15" hidden="false" customHeight="false" outlineLevel="0" collapsed="false">
      <c r="A8" s="21" t="s">
        <v>338</v>
      </c>
      <c r="B8" s="69" t="n">
        <f aca="false">Assumptions!$B$43</f>
        <v>800000000</v>
      </c>
      <c r="C8" s="71" t="n">
        <v>0</v>
      </c>
      <c r="D8" s="71" t="n">
        <f aca="false">C8-B8</f>
        <v>-800000000</v>
      </c>
      <c r="E8" s="72" t="s">
        <v>339</v>
      </c>
    </row>
    <row r="9" customFormat="false" ht="15" hidden="false" customHeight="false" outlineLevel="0" collapsed="false">
      <c r="A9" s="73" t="s">
        <v>340</v>
      </c>
      <c r="B9" s="69" t="n">
        <f aca="false">Assumptions!$B$40+12*Assumptions!$B$41+Assumptions!$B$42+Assumptions!$B$44+Assumptions!$B$45+Assumptions!$B$46</f>
        <v>366400000</v>
      </c>
      <c r="C9" s="69" t="n">
        <f aca="false">Assumptions!$B$40+12*Assumptions!$B$41+Assumptions!$B$42+Assumptions!$B$44+Assumptions!$B$45+Assumptions!$B$46</f>
        <v>366400000</v>
      </c>
      <c r="D9" s="71" t="n">
        <f aca="false">C9-B9</f>
        <v>0</v>
      </c>
      <c r="E9" s="74" t="s">
        <v>341</v>
      </c>
    </row>
    <row r="10" customFormat="false" ht="15" hidden="false" customHeight="false" outlineLevel="0" collapsed="false">
      <c r="A10" s="73" t="s">
        <v>342</v>
      </c>
      <c r="B10" s="71" t="n">
        <f aca="false">B7+B8+B9</f>
        <v>9166400000</v>
      </c>
      <c r="C10" s="71" t="n">
        <f aca="false">C7+C8+C9</f>
        <v>8366400000</v>
      </c>
      <c r="D10" s="71" t="n">
        <f aca="false">C10-B10</f>
        <v>-800000000</v>
      </c>
    </row>
    <row r="11" customFormat="false" ht="15" hidden="false" customHeight="false" outlineLevel="0" collapsed="false">
      <c r="A11" s="73" t="s">
        <v>343</v>
      </c>
      <c r="B11" s="75" t="n">
        <f aca="false">B7+B10</f>
        <v>17166400000</v>
      </c>
      <c r="C11" s="75" t="n">
        <f aca="false">C7+C10</f>
        <v>16366400000</v>
      </c>
      <c r="D11" s="71" t="n">
        <f aca="false">C11-B11</f>
        <v>-800000000</v>
      </c>
    </row>
    <row r="12" customFormat="false" ht="15" hidden="false" customHeight="false" outlineLevel="0" collapsed="false">
      <c r="A12" s="21" t="s">
        <v>344</v>
      </c>
      <c r="B12" s="71" t="n">
        <f aca="false">PnL!AL14+PnL!AM14+PnL!AN14</f>
        <v>-1231290057.64418</v>
      </c>
      <c r="C12" s="71" t="n">
        <f aca="false">PnL!AL14+PnL!AM14+PnL!AN14</f>
        <v>-1231290057.64418</v>
      </c>
      <c r="D12" s="71" t="n">
        <f aca="false">C12-B12</f>
        <v>0</v>
      </c>
    </row>
    <row r="13" customFormat="false" ht="15" hidden="false" customHeight="false" outlineLevel="0" collapsed="false">
      <c r="A13" s="21" t="s">
        <v>345</v>
      </c>
      <c r="B13" s="69" t="n">
        <f aca="false">B11+B12-Assumptions!$B$35</f>
        <v>15835109942.3558</v>
      </c>
      <c r="C13" s="69" t="n">
        <f aca="false">C11+C12-Assumptions!$B$35</f>
        <v>15035109942.3558</v>
      </c>
      <c r="D13" s="71" t="n">
        <f aca="false">C13-B13</f>
        <v>-800000000</v>
      </c>
      <c r="E13" s="70" t="s">
        <v>346</v>
      </c>
    </row>
    <row r="14" customFormat="false" ht="15" hidden="false" customHeight="false" outlineLevel="0" collapsed="false">
      <c r="A14" s="73" t="s">
        <v>347</v>
      </c>
      <c r="B14" s="76" t="str">
        <f aca="false">IF(B13&gt;0,"✅ 36+개월 OK","⚠️ 추가 펀딩 필요")</f>
        <v>✅ 36+개월 OK</v>
      </c>
      <c r="C14" s="76" t="str">
        <f aca="false">IF(C13&gt;0,"✅ 36+개월 OK","⚠️ 추가 펀딩 필요")</f>
        <v>✅ 36+개월 OK</v>
      </c>
      <c r="E14" s="77" t="s">
        <v>348</v>
      </c>
    </row>
    <row r="15" customFormat="false" ht="15" hidden="false" customHeight="false" outlineLevel="0" collapsed="false">
      <c r="E15" s="70" t="s">
        <v>349</v>
      </c>
    </row>
    <row r="17" customFormat="false" ht="15" hidden="false" customHeight="false" outlineLevel="0" collapsed="false">
      <c r="A17" s="78" t="s">
        <v>350</v>
      </c>
      <c r="B17" s="78"/>
      <c r="C17" s="78"/>
      <c r="D17" s="78"/>
      <c r="E17" s="78"/>
      <c r="F17" s="78"/>
    </row>
    <row r="18" customFormat="false" ht="14.9" hidden="false" customHeight="false" outlineLevel="0" collapsed="false">
      <c r="A18" s="79" t="s">
        <v>351</v>
      </c>
      <c r="B18" s="79"/>
      <c r="C18" s="79"/>
      <c r="D18" s="79"/>
      <c r="E18" s="79"/>
      <c r="F18" s="79"/>
    </row>
    <row r="19" customFormat="false" ht="14.9" hidden="false" customHeight="false" outlineLevel="0" collapsed="false">
      <c r="A19" s="79" t="s">
        <v>352</v>
      </c>
      <c r="B19" s="79"/>
      <c r="C19" s="79"/>
      <c r="D19" s="79"/>
      <c r="E19" s="79"/>
      <c r="F19" s="79"/>
    </row>
    <row r="20" customFormat="false" ht="14.9" hidden="false" customHeight="false" outlineLevel="0" collapsed="false">
      <c r="A20" s="79" t="s">
        <v>353</v>
      </c>
      <c r="B20" s="79"/>
      <c r="C20" s="79"/>
      <c r="D20" s="79"/>
      <c r="E20" s="79"/>
      <c r="F20" s="79"/>
    </row>
    <row r="21" customFormat="false" ht="14.9" hidden="false" customHeight="false" outlineLevel="0" collapsed="false">
      <c r="A21" s="79" t="s">
        <v>354</v>
      </c>
      <c r="B21" s="79"/>
      <c r="C21" s="79"/>
      <c r="D21" s="79"/>
      <c r="E21" s="79"/>
      <c r="F21" s="79"/>
    </row>
    <row r="23" customFormat="false" ht="15" hidden="false" customHeight="false" outlineLevel="0" collapsed="false">
      <c r="A23" s="78" t="s">
        <v>355</v>
      </c>
      <c r="B23" s="78"/>
      <c r="C23" s="78"/>
      <c r="D23" s="78"/>
      <c r="E23" s="78"/>
      <c r="F23" s="78"/>
    </row>
    <row r="24" customFormat="false" ht="14.9" hidden="false" customHeight="false" outlineLevel="0" collapsed="false">
      <c r="A24" s="80" t="s">
        <v>356</v>
      </c>
      <c r="B24" s="80"/>
      <c r="C24" s="80"/>
      <c r="D24" s="80"/>
      <c r="E24" s="80"/>
      <c r="F24" s="80"/>
    </row>
    <row r="25" customFormat="false" ht="14.9" hidden="false" customHeight="false" outlineLevel="0" collapsed="false">
      <c r="A25" s="80" t="s">
        <v>357</v>
      </c>
      <c r="B25" s="80"/>
      <c r="C25" s="80"/>
      <c r="D25" s="80"/>
      <c r="E25" s="80"/>
      <c r="F25" s="80"/>
    </row>
    <row r="26" customFormat="false" ht="14.9" hidden="false" customHeight="false" outlineLevel="0" collapsed="false">
      <c r="A26" s="81" t="s">
        <v>358</v>
      </c>
      <c r="B26" s="81"/>
      <c r="C26" s="81"/>
      <c r="D26" s="81"/>
      <c r="E26" s="81"/>
      <c r="F26" s="81"/>
    </row>
    <row r="27" customFormat="false" ht="14.9" hidden="false" customHeight="false" outlineLevel="0" collapsed="false">
      <c r="A27" s="81" t="s">
        <v>359</v>
      </c>
      <c r="B27" s="81"/>
      <c r="C27" s="81"/>
      <c r="D27" s="81"/>
      <c r="E27" s="81"/>
      <c r="F27" s="81"/>
    </row>
  </sheetData>
  <mergeCells count="13">
    <mergeCell ref="A1:F1"/>
    <mergeCell ref="A3:F3"/>
    <mergeCell ref="A4:F4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2026-05-06T09:27:46Z</dcterms:created>
  <dc:creator>openpyxl</dc:creator>
  <dc:description/>
  <dc:language>en-US</dc:language>
  <cp:lastModifiedBy/>
  <dcterms:modified xsi:type="dcterms:W3CDTF">2026-05-08T04:26:35Z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