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Cover" sheetId="1" state="visible" r:id="rId3"/>
    <sheet name="Assumptions" sheetId="2" state="visible" r:id="rId4"/>
    <sheet name="UnitEconomics" sheetId="3" state="visible" r:id="rId5"/>
    <sheet name="Revenue" sheetId="4" state="visible" r:id="rId6"/>
    <sheet name="PnL" sheetId="5" state="visible" r:id="rId7"/>
    <sheet name="Headcount" sheetId="6" state="visible" r:id="rId8"/>
    <sheet name="CashFlow" sheetId="7" state="visible" r:id="rId9"/>
    <sheet name="PreA_Scenarios" sheetId="8" state="visible" r:id="rId10"/>
    <sheet name="TIPS_Scenario" sheetId="9" state="visible" r:id="rId11"/>
    <sheet name="BEP_Runway" sheetId="10" state="visible" r:id="rId12"/>
    <sheet name="Sensitivity" sheetId="11" state="visible" r:id="rId1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<sst xmlns="http://schemas.openxmlformats.org/spreadsheetml/2006/main" count="759" uniqueCount="605">
  <si>
    <t xml:space="preserve">🌿 MyDamii — Pre-A Financial Model</t>
  </si>
  <si>
    <r>
      <rPr>
        <i val="true"/>
        <sz val="10"/>
        <color rgb="FF56423E"/>
        <rFont val="Arial"/>
        <family val="0"/>
        <charset val="1"/>
      </rPr>
      <t xml:space="preserve">Version 1.7 · 2026-05-28 · CONFIDENTIAL · Government Support </t>
    </r>
    <r>
      <rPr>
        <i val="true"/>
        <sz val="10"/>
        <color rgb="FF56423E"/>
        <rFont val="PingFang SC"/>
        <family val="2"/>
      </rPr>
      <t xml:space="preserve">확장 </t>
    </r>
    <r>
      <rPr>
        <i val="true"/>
        <sz val="10"/>
        <color rgb="FF56423E"/>
        <rFont val="Arial"/>
        <family val="0"/>
        <charset val="1"/>
      </rPr>
      <t xml:space="preserve">(7→22 </t>
    </r>
    <r>
      <rPr>
        <i val="true"/>
        <sz val="10"/>
        <color rgb="FF56423E"/>
        <rFont val="PingFang SC"/>
        <family val="2"/>
      </rPr>
      <t xml:space="preserve">프로그램</t>
    </r>
    <r>
      <rPr>
        <i val="true"/>
        <sz val="10"/>
        <color rgb="FF56423E"/>
        <rFont val="Arial"/>
        <family val="0"/>
        <charset val="1"/>
      </rPr>
      <t xml:space="preserve">, GOV_FUNDING_STRATEGY </t>
    </r>
    <r>
      <rPr>
        <i val="true"/>
        <sz val="10"/>
        <color rgb="FF56423E"/>
        <rFont val="PingFang SC"/>
        <family val="2"/>
      </rPr>
      <t xml:space="preserve">정합</t>
    </r>
    <r>
      <rPr>
        <i val="true"/>
        <sz val="10"/>
        <color rgb="FF56423E"/>
        <rFont val="Arial"/>
        <family val="0"/>
        <charset val="1"/>
      </rPr>
      <t xml:space="preserve">) (v1.6 supersede)</t>
    </r>
  </si>
  <si>
    <r>
      <rPr>
        <b val="true"/>
        <sz val="11"/>
        <color rgb="FF9F402D"/>
        <rFont val="Arial"/>
        <family val="0"/>
        <charset val="1"/>
      </rPr>
      <t xml:space="preserve">Phase 1 </t>
    </r>
    <r>
      <rPr>
        <b val="true"/>
        <sz val="11"/>
        <color rgb="FF9F402D"/>
        <rFont val="PingFang SC"/>
        <family val="2"/>
      </rPr>
      <t xml:space="preserve">모델 </t>
    </r>
    <r>
      <rPr>
        <b val="true"/>
        <sz val="11"/>
        <color rgb="FF9F402D"/>
        <rFont val="Arial"/>
        <family val="0"/>
        <charset val="1"/>
      </rPr>
      <t xml:space="preserve">A — UAE </t>
    </r>
    <r>
      <rPr>
        <b val="true"/>
        <sz val="11"/>
        <color rgb="FF9F402D"/>
        <rFont val="PingFang SC"/>
        <family val="2"/>
      </rPr>
      <t xml:space="preserve">단독 </t>
    </r>
    <r>
      <rPr>
        <b val="true"/>
        <sz val="11"/>
        <color rgb="FF9F402D"/>
        <rFont val="Arial"/>
        <family val="0"/>
        <charset val="1"/>
      </rPr>
      <t xml:space="preserve">first (</t>
    </r>
    <r>
      <rPr>
        <b val="true"/>
        <sz val="11"/>
        <color rgb="FF9F402D"/>
        <rFont val="PingFang SC"/>
        <family val="2"/>
      </rPr>
      <t xml:space="preserve">한국 직배송 </t>
    </r>
    <r>
      <rPr>
        <b val="true"/>
        <sz val="11"/>
        <color rgb="FF9F402D"/>
        <rFont val="Arial"/>
        <family val="0"/>
        <charset val="1"/>
      </rPr>
      <t xml:space="preserve">+ DDP)</t>
    </r>
  </si>
  <si>
    <t xml:space="preserve">항목</t>
  </si>
  <si>
    <t xml:space="preserve">값</t>
  </si>
  <si>
    <r>
      <rPr>
        <sz val="10"/>
        <rFont val="Arial"/>
        <family val="0"/>
        <charset val="1"/>
      </rPr>
      <t xml:space="preserve">Stage </t>
    </r>
    <r>
      <rPr>
        <sz val="10"/>
        <rFont val="PingFang SC"/>
        <family val="2"/>
      </rPr>
      <t xml:space="preserve">단계</t>
    </r>
  </si>
  <si>
    <t xml:space="preserve">Pre-A</t>
  </si>
  <si>
    <r>
      <rPr>
        <sz val="10"/>
        <rFont val="Arial"/>
        <family val="0"/>
        <charset val="1"/>
      </rPr>
      <t xml:space="preserve">Pre-A (Pre-Series A · Series A </t>
    </r>
    <r>
      <rPr>
        <sz val="10"/>
        <rFont val="PingFang SC"/>
        <family val="2"/>
      </rPr>
      <t xml:space="preserve">전 라운드</t>
    </r>
    <r>
      <rPr>
        <sz val="10"/>
        <rFont val="Arial"/>
        <family val="0"/>
        <charset val="1"/>
      </rPr>
      <t xml:space="preserve">) </t>
    </r>
    <r>
      <rPr>
        <sz val="10"/>
        <rFont val="PingFang SC"/>
        <family val="2"/>
      </rPr>
      <t xml:space="preserve">목표 </t>
    </r>
    <r>
      <rPr>
        <sz val="10"/>
        <rFont val="Arial"/>
        <family val="0"/>
        <charset val="1"/>
      </rPr>
      <t xml:space="preserve">(Base)</t>
    </r>
  </si>
  <si>
    <r>
      <rPr>
        <sz val="10"/>
        <rFont val="Arial"/>
        <family val="0"/>
        <charset val="1"/>
      </rPr>
      <t xml:space="preserve">₩10–20</t>
    </r>
    <r>
      <rPr>
        <sz val="10"/>
        <rFont val="PingFang SC"/>
        <family val="2"/>
      </rPr>
      <t xml:space="preserve">억 </t>
    </r>
    <r>
      <rPr>
        <sz val="10"/>
        <rFont val="Arial"/>
        <family val="0"/>
        <charset val="1"/>
      </rPr>
      <t xml:space="preserve">KRW (Base ₩15</t>
    </r>
    <r>
      <rPr>
        <sz val="10"/>
        <rFont val="PingFang SC"/>
        <family val="2"/>
      </rPr>
      <t xml:space="preserve">억 </t>
    </r>
    <r>
      <rPr>
        <sz val="10"/>
        <rFont val="Arial"/>
        <family val="0"/>
        <charset val="1"/>
      </rPr>
      <t xml:space="preserve">mid)</t>
    </r>
  </si>
  <si>
    <r>
      <rPr>
        <sz val="10"/>
        <rFont val="Arial"/>
        <family val="0"/>
        <charset val="1"/>
      </rPr>
      <t xml:space="preserve">Phase 1 </t>
    </r>
    <r>
      <rPr>
        <sz val="10"/>
        <rFont val="PingFang SC"/>
        <family val="2"/>
      </rPr>
      <t xml:space="preserve">시장</t>
    </r>
  </si>
  <si>
    <r>
      <rPr>
        <sz val="10"/>
        <rFont val="Arial"/>
        <family val="0"/>
        <charset val="1"/>
      </rPr>
      <t xml:space="preserve">UAE </t>
    </r>
    <r>
      <rPr>
        <sz val="10"/>
        <rFont val="PingFang SC"/>
        <family val="2"/>
      </rPr>
      <t xml:space="preserve">단독</t>
    </r>
  </si>
  <si>
    <t xml:space="preserve">운영 모델</t>
  </si>
  <si>
    <t xml:space="preserve">모델 A — 한국 직배송 + DDP (#086)</t>
  </si>
  <si>
    <t xml:space="preserve">거래 형태</t>
  </si>
  <si>
    <t xml:space="preserve">특정매입 + 직접수출자 + 총액법 (#079)</t>
  </si>
  <si>
    <r>
      <rPr>
        <sz val="10"/>
        <rFont val="Arial"/>
        <family val="0"/>
        <charset val="1"/>
      </rPr>
      <t xml:space="preserve">Take Rate (</t>
    </r>
    <r>
      <rPr>
        <sz val="10"/>
        <rFont val="PingFang SC"/>
        <family val="2"/>
      </rPr>
      <t xml:space="preserve">수수료율</t>
    </r>
    <r>
      <rPr>
        <sz val="10"/>
        <rFont val="Arial"/>
        <family val="0"/>
        <charset val="1"/>
      </rPr>
      <t xml:space="preserve">, </t>
    </r>
    <r>
      <rPr>
        <sz val="10"/>
        <rFont val="PingFang SC"/>
        <family val="2"/>
      </rPr>
      <t xml:space="preserve">명목</t>
    </r>
    <r>
      <rPr>
        <sz val="10"/>
        <rFont val="Arial"/>
        <family val="0"/>
        <charset val="1"/>
      </rPr>
      <t xml:space="preserve">)</t>
    </r>
  </si>
  <si>
    <t xml:space="preserve">30%</t>
  </si>
  <si>
    <r>
      <rPr>
        <sz val="10"/>
        <rFont val="Arial"/>
        <family val="0"/>
        <charset val="1"/>
      </rPr>
      <t xml:space="preserve">Phase 1 SOM — Serviceable Obtainable Market · </t>
    </r>
    <r>
      <rPr>
        <sz val="10"/>
        <rFont val="PingFang SC"/>
        <family val="2"/>
      </rPr>
      <t xml:space="preserve">획득 가능 시장 </t>
    </r>
    <r>
      <rPr>
        <sz val="10"/>
        <rFont val="Arial"/>
        <family val="0"/>
        <charset val="1"/>
      </rPr>
      <t xml:space="preserve">(3</t>
    </r>
    <r>
      <rPr>
        <sz val="10"/>
        <rFont val="PingFang SC"/>
        <family val="2"/>
      </rPr>
      <t xml:space="preserve">년 보수</t>
    </r>
    <r>
      <rPr>
        <sz val="10"/>
        <rFont val="Arial"/>
        <family val="0"/>
        <charset val="1"/>
      </rPr>
      <t xml:space="preserve">)</t>
    </r>
  </si>
  <si>
    <t xml:space="preserve">USD 8–25M (UAE only)</t>
  </si>
  <si>
    <r>
      <rPr>
        <sz val="10"/>
        <rFont val="Arial"/>
        <family val="0"/>
        <charset val="1"/>
      </rPr>
      <t xml:space="preserve">Phase 1+2 SOM (5</t>
    </r>
    <r>
      <rPr>
        <sz val="10"/>
        <rFont val="PingFang SC"/>
        <family val="2"/>
      </rPr>
      <t xml:space="preserve">년 누적</t>
    </r>
    <r>
      <rPr>
        <sz val="10"/>
        <rFont val="Arial"/>
        <family val="0"/>
        <charset val="1"/>
      </rPr>
      <t xml:space="preserve">, UAE+GCC)</t>
    </r>
  </si>
  <si>
    <t xml:space="preserve">USD 30–60M (UAE+GCC)</t>
  </si>
  <si>
    <r>
      <rPr>
        <sz val="10"/>
        <rFont val="Arial"/>
        <family val="0"/>
        <charset val="1"/>
      </rPr>
      <t xml:space="preserve">CEPA — Comprehensive Economic Partnership Agreement · </t>
    </r>
    <r>
      <rPr>
        <sz val="10"/>
        <rFont val="PingFang SC"/>
        <family val="2"/>
      </rPr>
      <t xml:space="preserve">포괄적 경제동반자협정 </t>
    </r>
    <r>
      <rPr>
        <sz val="10"/>
        <rFont val="Arial"/>
        <family val="0"/>
        <charset val="1"/>
      </rPr>
      <t xml:space="preserve">(Korea-UAE </t>
    </r>
    <r>
      <rPr>
        <sz val="10"/>
        <rFont val="PingFang SC"/>
        <family val="2"/>
      </rPr>
      <t xml:space="preserve">발효</t>
    </r>
    <r>
      <rPr>
        <sz val="10"/>
        <rFont val="Arial"/>
        <family val="0"/>
        <charset val="1"/>
      </rPr>
      <t xml:space="preserve">)</t>
    </r>
  </si>
  <si>
    <r>
      <rPr>
        <sz val="10"/>
        <rFont val="Arial"/>
        <family val="0"/>
        <charset val="1"/>
      </rPr>
      <t xml:space="preserve">2026-05 (5% </t>
    </r>
    <r>
      <rPr>
        <sz val="10"/>
        <rFont val="PingFang SC"/>
        <family val="2"/>
      </rPr>
      <t xml:space="preserve">관세 즉시</t>
    </r>
    <r>
      <rPr>
        <sz val="10"/>
        <rFont val="Arial"/>
        <family val="0"/>
        <charset val="1"/>
      </rPr>
      <t xml:space="preserve">·</t>
    </r>
    <r>
      <rPr>
        <sz val="10"/>
        <rFont val="PingFang SC"/>
        <family val="2"/>
      </rPr>
      <t xml:space="preserve">단계 철폐</t>
    </r>
    <r>
      <rPr>
        <sz val="10"/>
        <rFont val="Arial"/>
        <family val="0"/>
        <charset val="1"/>
      </rPr>
      <t xml:space="preserve">)</t>
    </r>
  </si>
  <si>
    <r>
      <rPr>
        <sz val="10"/>
        <rFont val="Arial"/>
        <family val="0"/>
        <charset val="1"/>
      </rPr>
      <t xml:space="preserve">Sephora ME (Middle East) </t>
    </r>
    <r>
      <rPr>
        <sz val="10"/>
        <rFont val="PingFang SC"/>
        <family val="2"/>
      </rPr>
      <t xml:space="preserve">진입 윈도우</t>
    </r>
  </si>
  <si>
    <r>
      <rPr>
        <sz val="10"/>
        <rFont val="Arial"/>
        <family val="0"/>
        <charset val="1"/>
      </rPr>
      <t xml:space="preserve">2027 — 18</t>
    </r>
    <r>
      <rPr>
        <sz val="10"/>
        <rFont val="PingFang SC"/>
        <family val="2"/>
      </rPr>
      <t xml:space="preserve">개월 단독 </t>
    </r>
    <r>
      <rPr>
        <sz val="10"/>
        <rFont val="Arial"/>
        <family val="0"/>
        <charset val="1"/>
      </rPr>
      <t xml:space="preserve">moat</t>
    </r>
  </si>
  <si>
    <t xml:space="preserve">포지션</t>
  </si>
  <si>
    <t xml:space="preserve">이슬람 K-뷰티 Specialist (글로벌 1/3 인구, #101) → MENA → Global</t>
  </si>
  <si>
    <t xml:space="preserve">정식 오픈 (M1)</t>
  </si>
  <si>
    <r>
      <rPr>
        <sz val="10"/>
        <rFont val="Arial"/>
        <family val="0"/>
        <charset val="1"/>
      </rPr>
      <t xml:space="preserve">2026.08 (M1) — #111 </t>
    </r>
    <r>
      <rPr>
        <sz val="10"/>
        <rFont val="PingFang SC"/>
        <family val="2"/>
      </rPr>
      <t xml:space="preserve">정식 오픈</t>
    </r>
    <r>
      <rPr>
        <sz val="10"/>
        <rFont val="Arial"/>
        <family val="0"/>
        <charset val="1"/>
      </rPr>
      <t xml:space="preserve">, CJ </t>
    </r>
    <r>
      <rPr>
        <sz val="10"/>
        <rFont val="PingFang SC"/>
        <family val="2"/>
      </rPr>
      <t xml:space="preserve">단독 합의</t>
    </r>
    <r>
      <rPr>
        <sz val="10"/>
        <rFont val="Arial"/>
        <family val="0"/>
        <charset val="1"/>
      </rPr>
      <t xml:space="preserve">. </t>
    </r>
    <r>
      <rPr>
        <sz val="10"/>
        <rFont val="PingFang SC"/>
        <family val="2"/>
      </rPr>
      <t xml:space="preserve">베타는 </t>
    </r>
    <r>
      <rPr>
        <sz val="10"/>
        <rFont val="Arial"/>
        <family val="0"/>
        <charset val="1"/>
      </rPr>
      <t xml:space="preserve">Phase 0 (2026.06-07) </t>
    </r>
    <r>
      <rPr>
        <sz val="10"/>
        <rFont val="PingFang SC"/>
        <family val="2"/>
      </rPr>
      <t xml:space="preserve">에 흡수</t>
    </r>
    <r>
      <rPr>
        <sz val="10"/>
        <rFont val="Arial"/>
        <family val="0"/>
        <charset val="1"/>
      </rPr>
      <t xml:space="preserve">, </t>
    </r>
    <r>
      <rPr>
        <sz val="10"/>
        <rFont val="PingFang SC"/>
        <family val="2"/>
      </rPr>
      <t xml:space="preserve">본 모델 </t>
    </r>
    <r>
      <rPr>
        <sz val="10"/>
        <rFont val="Arial"/>
        <family val="0"/>
        <charset val="1"/>
      </rPr>
      <t xml:space="preserve">M1=</t>
    </r>
    <r>
      <rPr>
        <sz val="10"/>
        <rFont val="PingFang SC"/>
        <family val="2"/>
      </rPr>
      <t xml:space="preserve">정식 오픈월</t>
    </r>
  </si>
  <si>
    <r>
      <rPr>
        <sz val="10"/>
        <rFont val="Arial"/>
        <family val="0"/>
        <charset val="1"/>
      </rPr>
      <t xml:space="preserve">Phase 1.5 </t>
    </r>
    <r>
      <rPr>
        <sz val="10"/>
        <rFont val="PingFang SC"/>
        <family val="2"/>
      </rPr>
      <t xml:space="preserve">트리거 </t>
    </r>
    <r>
      <rPr>
        <sz val="10"/>
        <rFont val="Arial"/>
        <family val="0"/>
        <charset val="1"/>
      </rPr>
      <t xml:space="preserve">(LOI — Letter Of Intent · </t>
    </r>
    <r>
      <rPr>
        <sz val="10"/>
        <rFont val="PingFang SC"/>
        <family val="2"/>
      </rPr>
      <t xml:space="preserve">의향서</t>
    </r>
    <r>
      <rPr>
        <sz val="10"/>
        <rFont val="Arial"/>
        <family val="0"/>
        <charset val="1"/>
      </rPr>
      <t xml:space="preserve">)</t>
    </r>
  </si>
  <si>
    <t xml:space="preserve">월 USD 50K+ 6mo / Anchor LOI 5+ / GCC 결정 (2/3 충족)</t>
  </si>
  <si>
    <r>
      <rPr>
        <sz val="10"/>
        <rFont val="Arial"/>
        <family val="0"/>
        <charset val="1"/>
      </rPr>
      <t xml:space="preserve">Currency Base — FX (Foreign Exchange · </t>
    </r>
    <r>
      <rPr>
        <sz val="10"/>
        <rFont val="PingFang SC"/>
        <family val="2"/>
      </rPr>
      <t xml:space="preserve">환율</t>
    </r>
    <r>
      <rPr>
        <sz val="10"/>
        <rFont val="Arial"/>
        <family val="0"/>
        <charset val="1"/>
      </rPr>
      <t xml:space="preserve">) </t>
    </r>
    <r>
      <rPr>
        <sz val="10"/>
        <rFont val="PingFang SC"/>
        <family val="2"/>
      </rPr>
      <t xml:space="preserve">기준</t>
    </r>
  </si>
  <si>
    <t xml:space="preserve">KRW (₩) · FX 1,400 KRW/USD</t>
  </si>
  <si>
    <r>
      <rPr>
        <b val="true"/>
        <sz val="11"/>
        <color rgb="FF9F402D"/>
        <rFont val="Arial"/>
        <family val="0"/>
        <charset val="1"/>
      </rPr>
      <t xml:space="preserve">📑 Workbook </t>
    </r>
    <r>
      <rPr>
        <b val="true"/>
        <sz val="11"/>
        <color rgb="FF9F402D"/>
        <rFont val="PingFang SC"/>
        <family val="2"/>
      </rPr>
      <t xml:space="preserve">시트 구조</t>
    </r>
  </si>
  <si>
    <t xml:space="preserve">#</t>
  </si>
  <si>
    <t xml:space="preserve">Sheet</t>
  </si>
  <si>
    <t xml:space="preserve">내용</t>
  </si>
  <si>
    <t xml:space="preserve">Cover</t>
  </si>
  <si>
    <t xml:space="preserve">본 페이지</t>
  </si>
  <si>
    <t xml:space="preserve">Assumptions</t>
  </si>
  <si>
    <t xml:space="preserve">🟡 입력 가정 (모든 드라이버 — VC가 수정해 시나리오 검증)</t>
  </si>
  <si>
    <t xml:space="preserve">UnitEconomics</t>
  </si>
  <si>
    <t xml:space="preserve">주문 1건당 P&amp;L (Stripe vs Tabby)</t>
  </si>
  <si>
    <t xml:space="preserve">Revenue</t>
  </si>
  <si>
    <r>
      <rPr>
        <sz val="10"/>
        <rFont val="Arial"/>
        <family val="0"/>
        <charset val="1"/>
      </rPr>
      <t xml:space="preserve">36</t>
    </r>
    <r>
      <rPr>
        <sz val="10"/>
        <rFont val="PingFang SC"/>
        <family val="2"/>
      </rPr>
      <t xml:space="preserve">개월 주문량</t>
    </r>
    <r>
      <rPr>
        <sz val="10"/>
        <rFont val="Arial"/>
        <family val="0"/>
        <charset val="1"/>
      </rPr>
      <t xml:space="preserve">·GMV·Damii </t>
    </r>
    <r>
      <rPr>
        <sz val="10"/>
        <rFont val="PingFang SC"/>
        <family val="2"/>
      </rPr>
      <t xml:space="preserve">매출</t>
    </r>
  </si>
  <si>
    <t xml:space="preserve">PnL</t>
  </si>
  <si>
    <r>
      <rPr>
        <sz val="10"/>
        <rFont val="Arial"/>
        <family val="0"/>
        <charset val="1"/>
      </rPr>
      <t xml:space="preserve">36</t>
    </r>
    <r>
      <rPr>
        <sz val="10"/>
        <rFont val="PingFang SC"/>
        <family val="2"/>
      </rPr>
      <t xml:space="preserve">개월 손익계산서 </t>
    </r>
    <r>
      <rPr>
        <sz val="10"/>
        <rFont val="Arial"/>
        <family val="0"/>
        <charset val="1"/>
      </rPr>
      <t xml:space="preserve">(</t>
    </r>
    <r>
      <rPr>
        <sz val="10"/>
        <rFont val="PingFang SC"/>
        <family val="2"/>
      </rPr>
      <t xml:space="preserve">총액법 </t>
    </r>
    <r>
      <rPr>
        <sz val="10"/>
        <rFont val="Arial"/>
        <family val="0"/>
        <charset val="1"/>
      </rPr>
      <t xml:space="preserve">#079)</t>
    </r>
  </si>
  <si>
    <t xml:space="preserve">Headcount</t>
  </si>
  <si>
    <t xml:space="preserve">월별 인력·인건비</t>
  </si>
  <si>
    <t xml:space="preserve">CashFlow</t>
  </si>
  <si>
    <t xml:space="preserve">현금흐름 + Pre-A + 정부지원 + 런웨이</t>
  </si>
  <si>
    <t xml:space="preserve">PreA_Scenarios</t>
  </si>
  <si>
    <r>
      <rPr>
        <sz val="10"/>
        <rFont val="Arial"/>
        <family val="0"/>
        <charset val="1"/>
      </rPr>
      <t xml:space="preserve">Pre-A </t>
    </r>
    <r>
      <rPr>
        <sz val="10"/>
        <rFont val="PingFang SC"/>
        <family val="2"/>
      </rPr>
      <t xml:space="preserve">시나리오 </t>
    </r>
    <r>
      <rPr>
        <sz val="10"/>
        <rFont val="Arial"/>
        <family val="0"/>
        <charset val="1"/>
      </rPr>
      <t xml:space="preserve">+ </t>
    </r>
    <r>
      <rPr>
        <sz val="10"/>
        <rFont val="PingFang SC"/>
        <family val="2"/>
      </rPr>
      <t xml:space="preserve">자금 사용처</t>
    </r>
  </si>
  <si>
    <t xml:space="preserve">Sensitivity</t>
  </si>
  <si>
    <r>
      <rPr>
        <sz val="10"/>
        <rFont val="Arial"/>
        <family val="0"/>
        <charset val="1"/>
      </rPr>
      <t xml:space="preserve">AOV × Volume </t>
    </r>
    <r>
      <rPr>
        <sz val="10"/>
        <rFont val="PingFang SC"/>
        <family val="2"/>
      </rPr>
      <t xml:space="preserve">민감도 분석</t>
    </r>
  </si>
  <si>
    <t xml:space="preserve">BEP_Runway</t>
  </si>
  <si>
    <t xml:space="preserve">🆕 손익분기점 + Pre-A 3 시나리오 런웨이 자동 계산</t>
  </si>
  <si>
    <t xml:space="preserve">⚠️ 사용 가이드 — 노란 배경 셀이 입력 가정. 다른 셀은 자동 계산</t>
  </si>
  <si>
    <r>
      <rPr>
        <i val="true"/>
        <sz val="10"/>
        <color rgb="FF9F402D"/>
        <rFont val="Arial"/>
        <family val="0"/>
        <charset val="1"/>
      </rPr>
      <t xml:space="preserve">🆕 v1.1 </t>
    </r>
    <r>
      <rPr>
        <i val="true"/>
        <sz val="10"/>
        <color rgb="FF9F402D"/>
        <rFont val="PingFang SC"/>
        <family val="2"/>
      </rPr>
      <t xml:space="preserve">추가</t>
    </r>
    <r>
      <rPr>
        <i val="true"/>
        <sz val="10"/>
        <color rgb="FF9F402D"/>
        <rFont val="Arial"/>
        <family val="0"/>
        <charset val="1"/>
      </rPr>
      <t xml:space="preserve">: TIPS_Scenario </t>
    </r>
    <r>
      <rPr>
        <i val="true"/>
        <sz val="10"/>
        <color rgb="FF9F402D"/>
        <rFont val="PingFang SC"/>
        <family val="2"/>
      </rPr>
      <t xml:space="preserve">시트 </t>
    </r>
    <r>
      <rPr>
        <i val="true"/>
        <sz val="10"/>
        <color rgb="FF9F402D"/>
        <rFont val="Arial"/>
        <family val="0"/>
        <charset val="1"/>
      </rPr>
      <t xml:space="preserve">(TIPS </t>
    </r>
    <r>
      <rPr>
        <i val="true"/>
        <sz val="10"/>
        <color rgb="FF9F402D"/>
        <rFont val="PingFang SC"/>
        <family val="2"/>
      </rPr>
      <t xml:space="preserve">통과</t>
    </r>
    <r>
      <rPr>
        <i val="true"/>
        <sz val="10"/>
        <color rgb="FF9F402D"/>
        <rFont val="Arial"/>
        <family val="0"/>
        <charset val="1"/>
      </rPr>
      <t xml:space="preserve">/</t>
    </r>
    <r>
      <rPr>
        <i val="true"/>
        <sz val="10"/>
        <color rgb="FF9F402D"/>
        <rFont val="PingFang SC"/>
        <family val="2"/>
      </rPr>
      <t xml:space="preserve">미통과 비교</t>
    </r>
    <r>
      <rPr>
        <i val="true"/>
        <sz val="10"/>
        <color rgb="FF9F402D"/>
        <rFont val="Arial"/>
        <family val="0"/>
        <charset val="1"/>
      </rPr>
      <t xml:space="preserve">)</t>
    </r>
  </si>
  <si>
    <r>
      <rPr>
        <b val="true"/>
        <sz val="10"/>
        <color rgb="FF9F402D"/>
        <rFont val="Arial"/>
        <family val="0"/>
        <charset val="1"/>
      </rPr>
      <t xml:space="preserve">🆕 v1.1 SOM (Serviceable Obtainable Market) </t>
    </r>
    <r>
      <rPr>
        <b val="true"/>
        <sz val="10"/>
        <color rgb="FF9F402D"/>
        <rFont val="PingFang SC"/>
        <family val="2"/>
      </rPr>
      <t xml:space="preserve">시나리오 정의 </t>
    </r>
    <r>
      <rPr>
        <b val="true"/>
        <sz val="10"/>
        <color rgb="FF9F402D"/>
        <rFont val="Arial"/>
        <family val="0"/>
        <charset val="1"/>
      </rPr>
      <t xml:space="preserve">(#094)</t>
    </r>
  </si>
  <si>
    <t xml:space="preserve">시나리오</t>
  </si>
  <si>
    <t xml:space="preserve">가정</t>
  </si>
  <si>
    <t xml:space="preserve">결과</t>
  </si>
  <si>
    <t xml:space="preserve">보수 (이 모델 base case)</t>
  </si>
  <si>
    <t xml:space="preserve">AOV $50 · 25→18→12→6% taper · M1=150 orders</t>
  </si>
  <si>
    <r>
      <rPr>
        <sz val="10"/>
        <rFont val="Arial"/>
        <family val="0"/>
        <charset val="1"/>
      </rPr>
      <t xml:space="preserve">3yr </t>
    </r>
    <r>
      <rPr>
        <sz val="10"/>
        <rFont val="PingFang SC"/>
        <family val="2"/>
      </rPr>
      <t xml:space="preserve">누적 </t>
    </r>
    <r>
      <rPr>
        <sz val="10"/>
        <rFont val="Arial"/>
        <family val="0"/>
        <charset val="1"/>
      </rPr>
      <t xml:space="preserve">~USD 6M</t>
    </r>
  </si>
  <si>
    <r>
      <rPr>
        <sz val="10"/>
        <rFont val="Arial"/>
        <family val="0"/>
        <charset val="1"/>
      </rPr>
      <t xml:space="preserve">SOM </t>
    </r>
    <r>
      <rPr>
        <sz val="10"/>
        <rFont val="PingFang SC"/>
        <family val="2"/>
      </rPr>
      <t xml:space="preserve">보수 하한</t>
    </r>
  </si>
  <si>
    <r>
      <rPr>
        <sz val="10"/>
        <rFont val="Arial"/>
        <family val="0"/>
        <charset val="1"/>
      </rPr>
      <t xml:space="preserve">AOV $50-55 + Anchor LOI 3-5 + </t>
    </r>
    <r>
      <rPr>
        <sz val="10"/>
        <rFont val="PingFang SC"/>
        <family val="2"/>
      </rPr>
      <t xml:space="preserve">정상 라마단 효과</t>
    </r>
  </si>
  <si>
    <r>
      <rPr>
        <sz val="10"/>
        <rFont val="Arial"/>
        <family val="0"/>
        <charset val="1"/>
      </rPr>
      <t xml:space="preserve">3yr </t>
    </r>
    <r>
      <rPr>
        <sz val="10"/>
        <rFont val="PingFang SC"/>
        <family val="2"/>
      </rPr>
      <t xml:space="preserve">누적 </t>
    </r>
    <r>
      <rPr>
        <sz val="10"/>
        <rFont val="Arial"/>
        <family val="0"/>
        <charset val="1"/>
      </rPr>
      <t xml:space="preserve">USD 8M</t>
    </r>
  </si>
  <si>
    <r>
      <rPr>
        <sz val="10"/>
        <rFont val="Arial"/>
        <family val="0"/>
        <charset val="1"/>
      </rPr>
      <t xml:space="preserve">SOM </t>
    </r>
    <r>
      <rPr>
        <sz val="10"/>
        <rFont val="PingFang SC"/>
        <family val="2"/>
      </rPr>
      <t xml:space="preserve">중간</t>
    </r>
  </si>
  <si>
    <r>
      <rPr>
        <sz val="10"/>
        <rFont val="Arial"/>
        <family val="0"/>
        <charset val="1"/>
      </rPr>
      <t xml:space="preserve">AOV $55-65 + Anchor LOI 5+ + Sephora ME </t>
    </r>
    <r>
      <rPr>
        <sz val="10"/>
        <rFont val="PingFang SC"/>
        <family val="2"/>
      </rPr>
      <t xml:space="preserve">진입</t>
    </r>
  </si>
  <si>
    <r>
      <rPr>
        <sz val="10"/>
        <rFont val="Arial"/>
        <family val="0"/>
        <charset val="1"/>
      </rPr>
      <t xml:space="preserve">3yr </t>
    </r>
    <r>
      <rPr>
        <sz val="10"/>
        <rFont val="PingFang SC"/>
        <family val="2"/>
      </rPr>
      <t xml:space="preserve">누적 </t>
    </r>
    <r>
      <rPr>
        <sz val="10"/>
        <rFont val="Arial"/>
        <family val="0"/>
        <charset val="1"/>
      </rPr>
      <t xml:space="preserve">USD 16M</t>
    </r>
  </si>
  <si>
    <r>
      <rPr>
        <sz val="10"/>
        <rFont val="Arial"/>
        <family val="0"/>
        <charset val="1"/>
      </rPr>
      <t xml:space="preserve">SOM </t>
    </r>
    <r>
      <rPr>
        <sz val="10"/>
        <rFont val="PingFang SC"/>
        <family val="2"/>
      </rPr>
      <t xml:space="preserve">상한</t>
    </r>
  </si>
  <si>
    <r>
      <rPr>
        <sz val="10"/>
        <rFont val="Arial"/>
        <family val="0"/>
        <charset val="1"/>
      </rPr>
      <t xml:space="preserve">AOV $60-70 + Anchor LOI 10+ + Phase 1.5 </t>
    </r>
    <r>
      <rPr>
        <sz val="10"/>
        <rFont val="PingFang SC"/>
        <family val="2"/>
      </rPr>
      <t xml:space="preserve">트리거 </t>
    </r>
    <r>
      <rPr>
        <sz val="10"/>
        <rFont val="Arial"/>
        <family val="0"/>
        <charset val="1"/>
      </rPr>
      <t xml:space="preserve">M12 </t>
    </r>
    <r>
      <rPr>
        <sz val="10"/>
        <rFont val="PingFang SC"/>
        <family val="2"/>
      </rPr>
      <t xml:space="preserve">도달</t>
    </r>
  </si>
  <si>
    <r>
      <rPr>
        <sz val="10"/>
        <rFont val="Arial"/>
        <family val="0"/>
        <charset val="1"/>
      </rPr>
      <t xml:space="preserve">3yr </t>
    </r>
    <r>
      <rPr>
        <sz val="10"/>
        <rFont val="PingFang SC"/>
        <family val="2"/>
      </rPr>
      <t xml:space="preserve">누적 </t>
    </r>
    <r>
      <rPr>
        <sz val="10"/>
        <rFont val="Arial"/>
        <family val="0"/>
        <charset val="1"/>
      </rPr>
      <t xml:space="preserve">USD 25M</t>
    </r>
  </si>
  <si>
    <t xml:space="preserve">⚠️ 모델 base = 보수 시나리오 (~USD 6M). IR에서 SOM 8-25M 주장 시 어떤 시나리오인지 명확화 필수.</t>
  </si>
  <si>
    <r>
      <rPr>
        <b val="true"/>
        <sz val="11"/>
        <rFont val="Cambria"/>
        <family val="0"/>
        <charset val="1"/>
      </rPr>
      <t xml:space="preserve">🆕 v1.2 </t>
    </r>
    <r>
      <rPr>
        <b val="true"/>
        <sz val="11"/>
        <rFont val="PingFang SC"/>
        <family val="2"/>
      </rPr>
      <t xml:space="preserve">변경 </t>
    </r>
    <r>
      <rPr>
        <b val="true"/>
        <sz val="11"/>
        <rFont val="Cambria"/>
        <family val="0"/>
        <charset val="1"/>
      </rPr>
      <t xml:space="preserve">(2026-05-26)</t>
    </r>
  </si>
  <si>
    <t xml:space="preserve">• 모델 M1 시점 시프트: 2027.01 베타 → 2026.08 정식 오픈 (#111 정합, CJ 단독 합의)</t>
  </si>
  <si>
    <r>
      <rPr>
        <sz val="11"/>
        <color theme="1"/>
        <rFont val="Calibri"/>
        <family val="2"/>
        <charset val="1"/>
      </rPr>
      <t xml:space="preserve">• Revenue Date Label 36</t>
    </r>
    <r>
      <rPr>
        <sz val="11"/>
        <color theme="1"/>
        <rFont val="PingFang SC"/>
        <family val="2"/>
      </rPr>
      <t xml:space="preserve">개월 </t>
    </r>
    <r>
      <rPr>
        <sz val="11"/>
        <color theme="1"/>
        <rFont val="Calibri"/>
        <family val="2"/>
        <charset val="1"/>
      </rPr>
      <t xml:space="preserve">5</t>
    </r>
    <r>
      <rPr>
        <sz val="11"/>
        <color theme="1"/>
        <rFont val="PingFang SC"/>
        <family val="2"/>
      </rPr>
      <t xml:space="preserve">개월 앞당김 </t>
    </r>
    <r>
      <rPr>
        <sz val="11"/>
        <color theme="1"/>
        <rFont val="Calibri"/>
        <family val="2"/>
        <charset val="1"/>
      </rPr>
      <t xml:space="preserve">(M1=2026.08, M36=2029.07)</t>
    </r>
  </si>
  <si>
    <t xml:space="preserve">• 베타는 Phase 0 (2026.06-07) 에 흡수 (Phase 0 비용은 별도 추정)</t>
  </si>
  <si>
    <t xml:space="preserve">• 정부지원 schedule 자동 시프트: KIDP M3=2026.10 / TIPS M12=2027.07 / Pre-A M3=2026.10</t>
  </si>
  <si>
    <r>
      <rPr>
        <sz val="11"/>
        <color theme="1"/>
        <rFont val="Calibri"/>
        <family val="2"/>
        <charset val="1"/>
      </rPr>
      <t xml:space="preserve">• Formula·</t>
    </r>
    <r>
      <rPr>
        <sz val="11"/>
        <color theme="1"/>
        <rFont val="PingFang SC"/>
        <family val="2"/>
      </rPr>
      <t xml:space="preserve">수치</t>
    </r>
    <r>
      <rPr>
        <sz val="11"/>
        <color theme="1"/>
        <rFont val="Calibri"/>
        <family val="2"/>
        <charset val="1"/>
      </rPr>
      <t xml:space="preserve">·SOM·Pre-A </t>
    </r>
    <r>
      <rPr>
        <sz val="11"/>
        <color theme="1"/>
        <rFont val="PingFang SC"/>
        <family val="2"/>
      </rPr>
      <t xml:space="preserve">규모 영향 </t>
    </r>
    <r>
      <rPr>
        <sz val="11"/>
        <color theme="1"/>
        <rFont val="Calibri"/>
        <family val="2"/>
        <charset val="1"/>
      </rPr>
      <t xml:space="preserve">0 (</t>
    </r>
    <r>
      <rPr>
        <sz val="11"/>
        <color theme="1"/>
        <rFont val="PingFang SC"/>
        <family val="2"/>
      </rPr>
      <t xml:space="preserve">시점 라벨만 갱신</t>
    </r>
    <r>
      <rPr>
        <sz val="11"/>
        <color theme="1"/>
        <rFont val="Calibri"/>
        <family val="2"/>
        <charset val="1"/>
      </rPr>
      <t xml:space="preserve">)</t>
    </r>
  </si>
  <si>
    <t xml:space="preserve">• 옛 v1.1 (2026-05-08, 베타 M1=2027.Q1) 은 git history 에 보존</t>
  </si>
  <si>
    <r>
      <rPr>
        <b val="true"/>
        <sz val="11"/>
        <rFont val="Arial"/>
        <family val="0"/>
        <charset val="1"/>
      </rPr>
      <t xml:space="preserve">🆕 v1.3 </t>
    </r>
    <r>
      <rPr>
        <b val="true"/>
        <sz val="11"/>
        <rFont val="PingFang SC"/>
        <family val="2"/>
      </rPr>
      <t xml:space="preserve">변경 </t>
    </r>
    <r>
      <rPr>
        <b val="true"/>
        <sz val="11"/>
        <rFont val="Arial"/>
        <family val="0"/>
        <charset val="1"/>
      </rPr>
      <t xml:space="preserve">(2026-05-26)</t>
    </r>
  </si>
  <si>
    <t xml:space="preserve">• 신규 시트 BEP_Runway: 손익분기점 (월 GMV·주문수) + Pre-A 3 시나리오 런웨이 자동 계산</t>
  </si>
  <si>
    <r>
      <rPr>
        <sz val="11"/>
        <color theme="1"/>
        <rFont val="Calibri"/>
        <family val="2"/>
        <charset val="1"/>
      </rPr>
      <t xml:space="preserve">• PreA_Scenarios E6-E8: </t>
    </r>
    <r>
      <rPr>
        <sz val="11"/>
        <color theme="1"/>
        <rFont val="PingFang SC"/>
        <family val="2"/>
      </rPr>
      <t xml:space="preserve">런웨이 텍스트 → 공식 </t>
    </r>
    <r>
      <rPr>
        <sz val="11"/>
        <color theme="1"/>
        <rFont val="Calibri"/>
        <family val="2"/>
        <charset val="1"/>
      </rPr>
      <t xml:space="preserve">(</t>
    </r>
    <r>
      <rPr>
        <sz val="11"/>
        <color theme="1"/>
        <rFont val="PingFang SC"/>
        <family val="2"/>
      </rPr>
      <t xml:space="preserve">시나리오 </t>
    </r>
    <r>
      <rPr>
        <sz val="11"/>
        <color theme="1"/>
        <rFont val="Calibri"/>
        <family val="2"/>
        <charset val="1"/>
      </rPr>
      <t xml:space="preserve">inflow × </t>
    </r>
    <r>
      <rPr>
        <sz val="11"/>
        <color theme="1"/>
        <rFont val="PingFang SC"/>
        <family val="2"/>
      </rPr>
      <t xml:space="preserve">평균 </t>
    </r>
    <r>
      <rPr>
        <sz val="11"/>
        <color theme="1"/>
        <rFont val="Calibri"/>
        <family val="2"/>
        <charset val="1"/>
      </rPr>
      <t xml:space="preserve">burn </t>
    </r>
    <r>
      <rPr>
        <sz val="11"/>
        <color theme="1"/>
        <rFont val="PingFang SC"/>
        <family val="2"/>
      </rPr>
      <t xml:space="preserve">자동</t>
    </r>
    <r>
      <rPr>
        <sz val="11"/>
        <color theme="1"/>
        <rFont val="Calibri"/>
        <family val="2"/>
        <charset val="1"/>
      </rPr>
      <t xml:space="preserve">)</t>
    </r>
  </si>
  <si>
    <r>
      <rPr>
        <sz val="11"/>
        <color theme="1"/>
        <rFont val="Calibri"/>
        <family val="2"/>
        <charset val="1"/>
      </rPr>
      <t xml:space="preserve">• Headcount + CashFlow Date Label 2026.08 (M1) </t>
    </r>
    <r>
      <rPr>
        <sz val="11"/>
        <color theme="1"/>
        <rFont val="PingFang SC"/>
        <family val="2"/>
      </rPr>
      <t xml:space="preserve">시점 정렬 </t>
    </r>
    <r>
      <rPr>
        <sz val="11"/>
        <color theme="1"/>
        <rFont val="Calibri"/>
        <family val="2"/>
        <charset val="1"/>
      </rPr>
      <t xml:space="preserve">(v1.2 </t>
    </r>
    <r>
      <rPr>
        <sz val="11"/>
        <color theme="1"/>
        <rFont val="PingFang SC"/>
        <family val="2"/>
      </rPr>
      <t xml:space="preserve">누락 수정</t>
    </r>
    <r>
      <rPr>
        <sz val="11"/>
        <color theme="1"/>
        <rFont val="Calibri"/>
        <family val="2"/>
        <charset val="1"/>
      </rPr>
      <t xml:space="preserve">)</t>
    </r>
  </si>
  <si>
    <r>
      <rPr>
        <sz val="11"/>
        <color theme="1"/>
        <rFont val="Calibri"/>
        <family val="2"/>
        <charset val="1"/>
      </rPr>
      <t xml:space="preserve">• Cover Workbook </t>
    </r>
    <r>
      <rPr>
        <sz val="11"/>
        <color theme="1"/>
        <rFont val="PingFang SC"/>
        <family val="2"/>
      </rPr>
      <t xml:space="preserve">시트 구조 표 </t>
    </r>
    <r>
      <rPr>
        <sz val="11"/>
        <color theme="1"/>
        <rFont val="Calibri"/>
        <family val="2"/>
        <charset val="1"/>
      </rPr>
      <t xml:space="preserve">10</t>
    </r>
    <r>
      <rPr>
        <sz val="11"/>
        <color theme="1"/>
        <rFont val="PingFang SC"/>
        <family val="2"/>
      </rPr>
      <t xml:space="preserve">번 </t>
    </r>
    <r>
      <rPr>
        <sz val="11"/>
        <color theme="1"/>
        <rFont val="Calibri"/>
        <family val="2"/>
        <charset val="1"/>
      </rPr>
      <t xml:space="preserve">BEP_Runway </t>
    </r>
    <r>
      <rPr>
        <sz val="11"/>
        <color theme="1"/>
        <rFont val="PingFang SC"/>
        <family val="2"/>
      </rPr>
      <t xml:space="preserve">추가</t>
    </r>
  </si>
  <si>
    <r>
      <rPr>
        <sz val="11"/>
        <color theme="1"/>
        <rFont val="Calibri"/>
        <family val="2"/>
        <charset val="1"/>
      </rPr>
      <t xml:space="preserve">• BUSINESS_STRATEGY v1 §6·§9 </t>
    </r>
    <r>
      <rPr>
        <sz val="11"/>
        <color theme="1"/>
        <rFont val="PingFang SC"/>
        <family val="2"/>
      </rPr>
      <t xml:space="preserve">정합 — 고정비</t>
    </r>
    <r>
      <rPr>
        <sz val="11"/>
        <color theme="1"/>
        <rFont val="Calibri"/>
        <family val="2"/>
        <charset val="1"/>
      </rPr>
      <t xml:space="preserve">·</t>
    </r>
    <r>
      <rPr>
        <sz val="11"/>
        <color theme="1"/>
        <rFont val="PingFang SC"/>
        <family val="2"/>
      </rPr>
      <t xml:space="preserve">정상 영업마진</t>
    </r>
    <r>
      <rPr>
        <sz val="11"/>
        <color theme="1"/>
        <rFont val="Calibri"/>
        <family val="2"/>
        <charset val="1"/>
      </rPr>
      <t xml:space="preserve">·</t>
    </r>
    <r>
      <rPr>
        <sz val="11"/>
        <color theme="1"/>
        <rFont val="PingFang SC"/>
        <family val="2"/>
      </rPr>
      <t xml:space="preserve">시나리오</t>
    </r>
  </si>
  <si>
    <r>
      <rPr>
        <b val="true"/>
        <sz val="11"/>
        <rFont val="Arial"/>
        <family val="0"/>
        <charset val="1"/>
      </rPr>
      <t xml:space="preserve">🆕 v1.4 </t>
    </r>
    <r>
      <rPr>
        <b val="true"/>
        <sz val="11"/>
        <rFont val="PingFang SC"/>
        <family val="2"/>
      </rPr>
      <t xml:space="preserve">변경 </t>
    </r>
    <r>
      <rPr>
        <b val="true"/>
        <sz val="11"/>
        <rFont val="Arial"/>
        <family val="0"/>
        <charset val="1"/>
      </rPr>
      <t xml:space="preserve">(2026-05-26)</t>
    </r>
  </si>
  <si>
    <r>
      <rPr>
        <sz val="11"/>
        <color theme="1"/>
        <rFont val="Calibri"/>
        <family val="2"/>
        <charset val="1"/>
      </rPr>
      <t xml:space="preserve">• Assumptions B23 </t>
    </r>
    <r>
      <rPr>
        <sz val="11"/>
        <color theme="1"/>
        <rFont val="PingFang SC"/>
        <family val="2"/>
      </rPr>
      <t xml:space="preserve">사무실비</t>
    </r>
    <r>
      <rPr>
        <sz val="11"/>
        <color theme="1"/>
        <rFont val="Calibri"/>
        <family val="2"/>
        <charset val="1"/>
      </rPr>
      <t xml:space="preserve">: ₩5M → ₩0 (D.CAMP/Maru 360 </t>
    </r>
    <r>
      <rPr>
        <sz val="11"/>
        <color theme="1"/>
        <rFont val="PingFang SC"/>
        <family val="2"/>
      </rPr>
      <t xml:space="preserve">무료 입주 가정</t>
    </r>
    <r>
      <rPr>
        <sz val="11"/>
        <color theme="1"/>
        <rFont val="Calibri"/>
        <family val="2"/>
        <charset val="1"/>
      </rPr>
      <t xml:space="preserve">, GOV_FUNDING_STRATEGY §1)</t>
    </r>
  </si>
  <si>
    <r>
      <rPr>
        <sz val="11"/>
        <color theme="1"/>
        <rFont val="Calibri"/>
        <family val="2"/>
        <charset val="1"/>
      </rPr>
      <t xml:space="preserve">• BEP_Runway </t>
    </r>
    <r>
      <rPr>
        <sz val="11"/>
        <color theme="1"/>
        <rFont val="PingFang SC"/>
        <family val="2"/>
      </rPr>
      <t xml:space="preserve">자동 재계산</t>
    </r>
    <r>
      <rPr>
        <sz val="11"/>
        <color theme="1"/>
        <rFont val="Calibri"/>
        <family val="2"/>
        <charset val="1"/>
      </rPr>
      <t xml:space="preserve">: </t>
    </r>
    <r>
      <rPr>
        <sz val="11"/>
        <color theme="1"/>
        <rFont val="PingFang SC"/>
        <family val="2"/>
      </rPr>
      <t xml:space="preserve">고정비 ₩</t>
    </r>
    <r>
      <rPr>
        <sz val="11"/>
        <color theme="1"/>
        <rFont val="Calibri"/>
        <family val="2"/>
        <charset val="1"/>
      </rPr>
      <t xml:space="preserve">44.5M → ₩39.5M → BEP GMV ₩371M → ₩329M</t>
    </r>
  </si>
  <si>
    <r>
      <rPr>
        <sz val="11"/>
        <color theme="1"/>
        <rFont val="Calibri"/>
        <family val="2"/>
        <charset val="1"/>
      </rPr>
      <t xml:space="preserve">• Pre-A </t>
    </r>
    <r>
      <rPr>
        <sz val="11"/>
        <color theme="1"/>
        <rFont val="PingFang SC"/>
        <family val="2"/>
      </rPr>
      <t xml:space="preserve">재제안 ₩</t>
    </r>
    <r>
      <rPr>
        <sz val="11"/>
        <color theme="1"/>
        <rFont val="Calibri"/>
        <family val="2"/>
        <charset val="1"/>
      </rPr>
      <t xml:space="preserve">60-100</t>
    </r>
    <r>
      <rPr>
        <sz val="11"/>
        <color theme="1"/>
        <rFont val="PingFang SC"/>
        <family val="2"/>
      </rPr>
      <t xml:space="preserve">억 → ₩</t>
    </r>
    <r>
      <rPr>
        <sz val="11"/>
        <color theme="1"/>
        <rFont val="Calibri"/>
        <family val="2"/>
        <charset val="1"/>
      </rPr>
      <t xml:space="preserve">30-40</t>
    </r>
    <r>
      <rPr>
        <sz val="11"/>
        <color theme="1"/>
        <rFont val="PingFang SC"/>
        <family val="2"/>
      </rPr>
      <t xml:space="preserve">억 </t>
    </r>
    <r>
      <rPr>
        <sz val="11"/>
        <color theme="1"/>
        <rFont val="Calibri"/>
        <family val="2"/>
        <charset val="1"/>
      </rPr>
      <t xml:space="preserve">(</t>
    </r>
    <r>
      <rPr>
        <sz val="11"/>
        <color theme="1"/>
        <rFont val="PingFang SC"/>
        <family val="2"/>
      </rPr>
      <t xml:space="preserve">정부지원 ₩</t>
    </r>
    <r>
      <rPr>
        <sz val="11"/>
        <color theme="1"/>
        <rFont val="Calibri"/>
        <family val="2"/>
        <charset val="1"/>
      </rPr>
      <t xml:space="preserve">25-40</t>
    </r>
    <r>
      <rPr>
        <sz val="11"/>
        <color theme="1"/>
        <rFont val="PingFang SC"/>
        <family val="2"/>
      </rPr>
      <t xml:space="preserve">억 </t>
    </r>
    <r>
      <rPr>
        <sz val="11"/>
        <color theme="1"/>
        <rFont val="Calibri"/>
        <family val="2"/>
        <charset val="1"/>
      </rPr>
      <t xml:space="preserve">+ </t>
    </r>
    <r>
      <rPr>
        <sz val="11"/>
        <color theme="1"/>
        <rFont val="PingFang SC"/>
        <family val="2"/>
      </rPr>
      <t xml:space="preserve">사무실 무료 ₩</t>
    </r>
    <r>
      <rPr>
        <sz val="11"/>
        <color theme="1"/>
        <rFont val="Calibri"/>
        <family val="2"/>
        <charset val="1"/>
      </rPr>
      <t xml:space="preserve">3-5</t>
    </r>
    <r>
      <rPr>
        <sz val="11"/>
        <color theme="1"/>
        <rFont val="PingFang SC"/>
        <family val="2"/>
      </rPr>
      <t xml:space="preserve">천만</t>
    </r>
    <r>
      <rPr>
        <sz val="11"/>
        <color theme="1"/>
        <rFont val="Calibri"/>
        <family val="2"/>
        <charset val="1"/>
      </rPr>
      <t xml:space="preserve">/</t>
    </r>
    <r>
      <rPr>
        <sz val="11"/>
        <color theme="1"/>
        <rFont val="PingFang SC"/>
        <family val="2"/>
      </rPr>
      <t xml:space="preserve">년 효과</t>
    </r>
    <r>
      <rPr>
        <sz val="11"/>
        <color theme="1"/>
        <rFont val="Calibri"/>
        <family val="2"/>
        <charset val="1"/>
      </rPr>
      <t xml:space="preserve">)</t>
    </r>
  </si>
  <si>
    <r>
      <rPr>
        <sz val="11"/>
        <color theme="1"/>
        <rFont val="Calibri"/>
        <family val="2"/>
        <charset val="1"/>
      </rPr>
      <t xml:space="preserve">• IR Pitch v3 Slide 11·14 </t>
    </r>
    <r>
      <rPr>
        <sz val="11"/>
        <color theme="1"/>
        <rFont val="PingFang SC"/>
        <family val="2"/>
      </rPr>
      <t xml:space="preserve">갱신 </t>
    </r>
    <r>
      <rPr>
        <sz val="11"/>
        <color theme="1"/>
        <rFont val="Calibri"/>
        <family val="2"/>
        <charset val="1"/>
      </rPr>
      <t xml:space="preserve">(</t>
    </r>
    <r>
      <rPr>
        <sz val="11"/>
        <color theme="1"/>
        <rFont val="PingFang SC"/>
        <family val="2"/>
      </rPr>
      <t xml:space="preserve">별도 </t>
    </r>
    <r>
      <rPr>
        <sz val="11"/>
        <color theme="1"/>
        <rFont val="Calibri"/>
        <family val="2"/>
        <charset val="1"/>
      </rPr>
      <t xml:space="preserve">PR </t>
    </r>
    <r>
      <rPr>
        <sz val="11"/>
        <color theme="1"/>
        <rFont val="PingFang SC"/>
        <family val="2"/>
      </rPr>
      <t xml:space="preserve">에서 동시 반영</t>
    </r>
    <r>
      <rPr>
        <sz val="11"/>
        <color theme="1"/>
        <rFont val="Calibri"/>
        <family val="2"/>
        <charset val="1"/>
      </rPr>
      <t xml:space="preserve">)</t>
    </r>
  </si>
  <si>
    <r>
      <rPr>
        <b val="true"/>
        <sz val="11"/>
        <rFont val="Arial"/>
        <family val="0"/>
        <charset val="1"/>
      </rPr>
      <t xml:space="preserve">🆕 v1.5 </t>
    </r>
    <r>
      <rPr>
        <b val="true"/>
        <sz val="11"/>
        <rFont val="PingFang SC"/>
        <family val="2"/>
      </rPr>
      <t xml:space="preserve">변경 </t>
    </r>
    <r>
      <rPr>
        <b val="true"/>
        <sz val="11"/>
        <rFont val="Arial"/>
        <family val="0"/>
        <charset val="1"/>
      </rPr>
      <t xml:space="preserve">(2026-05-26 PM)</t>
    </r>
  </si>
  <si>
    <r>
      <rPr>
        <sz val="11"/>
        <color theme="1"/>
        <rFont val="Calibri"/>
        <family val="2"/>
        <charset val="1"/>
      </rPr>
      <t xml:space="preserve">• Pre-A 2</t>
    </r>
    <r>
      <rPr>
        <sz val="11"/>
        <color theme="1"/>
        <rFont val="PingFang SC"/>
        <family val="2"/>
      </rPr>
      <t xml:space="preserve">차 재사이즈 </t>
    </r>
    <r>
      <rPr>
        <sz val="11"/>
        <color theme="1"/>
        <rFont val="Calibri"/>
        <family val="2"/>
        <charset val="1"/>
      </rPr>
      <t xml:space="preserve">(CEO </t>
    </r>
    <r>
      <rPr>
        <sz val="11"/>
        <color theme="1"/>
        <rFont val="PingFang SC"/>
        <family val="2"/>
      </rPr>
      <t xml:space="preserve">결정</t>
    </r>
    <r>
      <rPr>
        <sz val="11"/>
        <color theme="1"/>
        <rFont val="Calibri"/>
        <family val="2"/>
        <charset val="1"/>
      </rPr>
      <t xml:space="preserve">): ₩30-40</t>
    </r>
    <r>
      <rPr>
        <sz val="11"/>
        <color theme="1"/>
        <rFont val="PingFang SC"/>
        <family val="2"/>
      </rPr>
      <t xml:space="preserve">억 → ₩</t>
    </r>
    <r>
      <rPr>
        <sz val="11"/>
        <color theme="1"/>
        <rFont val="Calibri"/>
        <family val="2"/>
        <charset val="1"/>
      </rPr>
      <t xml:space="preserve">10-20</t>
    </r>
    <r>
      <rPr>
        <sz val="11"/>
        <color theme="1"/>
        <rFont val="PingFang SC"/>
        <family val="2"/>
      </rPr>
      <t xml:space="preserve">억 </t>
    </r>
    <r>
      <rPr>
        <sz val="11"/>
        <color theme="1"/>
        <rFont val="Calibri"/>
        <family val="2"/>
        <charset val="1"/>
      </rPr>
      <t xml:space="preserve">(</t>
    </r>
    <r>
      <rPr>
        <sz val="11"/>
        <color theme="1"/>
        <rFont val="PingFang SC"/>
        <family val="2"/>
      </rPr>
      <t xml:space="preserve">한국 </t>
    </r>
    <r>
      <rPr>
        <sz val="11"/>
        <color theme="1"/>
        <rFont val="Calibri"/>
        <family val="2"/>
        <charset val="1"/>
      </rPr>
      <t xml:space="preserve">Pre-A </t>
    </r>
    <r>
      <rPr>
        <sz val="11"/>
        <color theme="1"/>
        <rFont val="PingFang SC"/>
        <family val="2"/>
      </rPr>
      <t xml:space="preserve">표준 영역 ₩</t>
    </r>
    <r>
      <rPr>
        <sz val="11"/>
        <color theme="1"/>
        <rFont val="Calibri"/>
        <family val="2"/>
        <charset val="1"/>
      </rPr>
      <t xml:space="preserve">10-30</t>
    </r>
    <r>
      <rPr>
        <sz val="11"/>
        <color theme="1"/>
        <rFont val="PingFang SC"/>
        <family val="2"/>
      </rPr>
      <t xml:space="preserve">억 정합</t>
    </r>
    <r>
      <rPr>
        <sz val="11"/>
        <color theme="1"/>
        <rFont val="Calibri"/>
        <family val="2"/>
        <charset val="1"/>
      </rPr>
      <t xml:space="preserve">)</t>
    </r>
  </si>
  <si>
    <r>
      <rPr>
        <sz val="11"/>
        <color theme="1"/>
        <rFont val="Calibri"/>
        <family val="2"/>
        <charset val="1"/>
      </rPr>
      <t xml:space="preserve">• 3 </t>
    </r>
    <r>
      <rPr>
        <sz val="11"/>
        <color theme="1"/>
        <rFont val="PingFang SC"/>
        <family val="2"/>
      </rPr>
      <t xml:space="preserve">시나리오 재정의</t>
    </r>
    <r>
      <rPr>
        <sz val="11"/>
        <color theme="1"/>
        <rFont val="Calibri"/>
        <family val="2"/>
        <charset val="1"/>
      </rPr>
      <t xml:space="preserve">: </t>
    </r>
    <r>
      <rPr>
        <sz val="11"/>
        <color theme="1"/>
        <rFont val="PingFang SC"/>
        <family val="2"/>
      </rPr>
      <t xml:space="preserve">보수 ₩</t>
    </r>
    <r>
      <rPr>
        <sz val="11"/>
        <color theme="1"/>
        <rFont val="Calibri"/>
        <family val="2"/>
        <charset val="1"/>
      </rPr>
      <t xml:space="preserve">5-10</t>
    </r>
    <r>
      <rPr>
        <sz val="11"/>
        <color theme="1"/>
        <rFont val="PingFang SC"/>
        <family val="2"/>
      </rPr>
      <t xml:space="preserve">억 </t>
    </r>
    <r>
      <rPr>
        <sz val="11"/>
        <color theme="1"/>
        <rFont val="Calibri"/>
        <family val="2"/>
        <charset val="1"/>
      </rPr>
      <t xml:space="preserve">/ </t>
    </r>
    <r>
      <rPr>
        <sz val="11"/>
        <color theme="1"/>
        <rFont val="PingFang SC"/>
        <family val="2"/>
      </rPr>
      <t xml:space="preserve">기본 ⭐ ₩</t>
    </r>
    <r>
      <rPr>
        <sz val="11"/>
        <color theme="1"/>
        <rFont val="Calibri"/>
        <family val="2"/>
        <charset val="1"/>
      </rPr>
      <t xml:space="preserve">10-20</t>
    </r>
    <r>
      <rPr>
        <sz val="11"/>
        <color theme="1"/>
        <rFont val="PingFang SC"/>
        <family val="2"/>
      </rPr>
      <t xml:space="preserve">억 </t>
    </r>
    <r>
      <rPr>
        <sz val="11"/>
        <color theme="1"/>
        <rFont val="Calibri"/>
        <family val="2"/>
        <charset val="1"/>
      </rPr>
      <t xml:space="preserve">/ </t>
    </r>
    <r>
      <rPr>
        <sz val="11"/>
        <color theme="1"/>
        <rFont val="PingFang SC"/>
        <family val="2"/>
      </rPr>
      <t xml:space="preserve">공격 ₩</t>
    </r>
    <r>
      <rPr>
        <sz val="11"/>
        <color theme="1"/>
        <rFont val="Calibri"/>
        <family val="2"/>
        <charset val="1"/>
      </rPr>
      <t xml:space="preserve">20-30</t>
    </r>
    <r>
      <rPr>
        <sz val="11"/>
        <color theme="1"/>
        <rFont val="PingFang SC"/>
        <family val="2"/>
      </rPr>
      <t xml:space="preserve">억</t>
    </r>
  </si>
  <si>
    <t xml:space="preserve">• 종합 자본 ₩35-60억 = Pre-A + 정부지원 ₩25-40억 + 사무실 무료 (BEP M24 누적 burn ₩9.6억 충분)</t>
  </si>
  <si>
    <r>
      <rPr>
        <sz val="11"/>
        <color theme="1"/>
        <rFont val="Calibri"/>
        <family val="2"/>
        <charset val="1"/>
      </rPr>
      <t xml:space="preserve">• Dilution: 20% (</t>
    </r>
    <r>
      <rPr>
        <sz val="11"/>
        <color theme="1"/>
        <rFont val="PingFang SC"/>
        <family val="2"/>
      </rPr>
      <t xml:space="preserve">원안</t>
    </r>
    <r>
      <rPr>
        <sz val="11"/>
        <color theme="1"/>
        <rFont val="Calibri"/>
        <family val="2"/>
        <charset val="1"/>
      </rPr>
      <t xml:space="preserve">) → 10-15% (2</t>
    </r>
    <r>
      <rPr>
        <sz val="11"/>
        <color theme="1"/>
        <rFont val="PingFang SC"/>
        <family val="2"/>
      </rPr>
      <t xml:space="preserve">차 재사이즈</t>
    </r>
    <r>
      <rPr>
        <sz val="11"/>
        <color theme="1"/>
        <rFont val="Calibri"/>
        <family val="2"/>
        <charset val="1"/>
      </rPr>
      <t xml:space="preserve">) — </t>
    </r>
    <r>
      <rPr>
        <sz val="11"/>
        <color theme="1"/>
        <rFont val="PingFang SC"/>
        <family val="2"/>
      </rPr>
      <t xml:space="preserve">창업주 지분 보호 </t>
    </r>
    <r>
      <rPr>
        <sz val="11"/>
        <color theme="1"/>
        <rFont val="Calibri"/>
        <family val="2"/>
        <charset val="1"/>
      </rPr>
      <t xml:space="preserve">+ Series A </t>
    </r>
    <r>
      <rPr>
        <sz val="11"/>
        <color theme="1"/>
        <rFont val="PingFang SC"/>
        <family val="2"/>
      </rPr>
      <t xml:space="preserve">협상력</t>
    </r>
  </si>
  <si>
    <r>
      <rPr>
        <sz val="11"/>
        <color theme="1"/>
        <rFont val="Calibri"/>
        <family val="2"/>
        <charset val="1"/>
      </rPr>
      <t xml:space="preserve">• xlsx </t>
    </r>
    <r>
      <rPr>
        <sz val="11"/>
        <color theme="1"/>
        <rFont val="PingFang SC"/>
        <family val="2"/>
      </rPr>
      <t xml:space="preserve">수치 영향 없음 — </t>
    </r>
    <r>
      <rPr>
        <sz val="11"/>
        <color theme="1"/>
        <rFont val="Calibri"/>
        <family val="2"/>
        <charset val="1"/>
      </rPr>
      <t xml:space="preserve">narrative·label </t>
    </r>
    <r>
      <rPr>
        <sz val="11"/>
        <color theme="1"/>
        <rFont val="PingFang SC"/>
        <family val="2"/>
      </rPr>
      <t xml:space="preserve">만 갱신 </t>
    </r>
    <r>
      <rPr>
        <sz val="11"/>
        <color theme="1"/>
        <rFont val="Calibri"/>
        <family val="2"/>
        <charset val="1"/>
      </rPr>
      <t xml:space="preserve">(PreA_Scenarios·BEP_Runway </t>
    </r>
    <r>
      <rPr>
        <sz val="11"/>
        <color theme="1"/>
        <rFont val="PingFang SC"/>
        <family val="2"/>
      </rPr>
      <t xml:space="preserve">자동 계산은 그대로</t>
    </r>
    <r>
      <rPr>
        <sz val="11"/>
        <color theme="1"/>
        <rFont val="Calibri"/>
        <family val="2"/>
        <charset val="1"/>
      </rPr>
      <t xml:space="preserve">)</t>
    </r>
  </si>
  <si>
    <r>
      <rPr>
        <b val="true"/>
        <sz val="11"/>
        <rFont val="Arial"/>
        <family val="0"/>
        <charset val="1"/>
      </rPr>
      <t xml:space="preserve">🆕 v1.6 </t>
    </r>
    <r>
      <rPr>
        <b val="true"/>
        <sz val="11"/>
        <rFont val="PingFang SC"/>
        <family val="2"/>
      </rPr>
      <t xml:space="preserve">변경 </t>
    </r>
    <r>
      <rPr>
        <b val="true"/>
        <sz val="11"/>
        <rFont val="Arial"/>
        <family val="0"/>
        <charset val="1"/>
      </rPr>
      <t xml:space="preserve">(2026-05-28) — </t>
    </r>
    <r>
      <rPr>
        <b val="true"/>
        <sz val="11"/>
        <rFont val="PingFang SC"/>
        <family val="2"/>
      </rPr>
      <t xml:space="preserve">정합성 일괄 수정</t>
    </r>
  </si>
  <si>
    <r>
      <rPr>
        <sz val="11"/>
        <color theme="1"/>
        <rFont val="Calibri"/>
        <family val="2"/>
        <charset val="1"/>
      </rPr>
      <t xml:space="preserve">• Cover B8: Pre-A ₩60–100</t>
    </r>
    <r>
      <rPr>
        <sz val="11"/>
        <color theme="1"/>
        <rFont val="PingFang SC"/>
        <family val="2"/>
      </rPr>
      <t xml:space="preserve">억 → ₩</t>
    </r>
    <r>
      <rPr>
        <sz val="11"/>
        <color theme="1"/>
        <rFont val="Calibri"/>
        <family val="2"/>
        <charset val="1"/>
      </rPr>
      <t xml:space="preserve">10–20</t>
    </r>
    <r>
      <rPr>
        <sz val="11"/>
        <color theme="1"/>
        <rFont val="PingFang SC"/>
        <family val="2"/>
      </rPr>
      <t xml:space="preserve">억 </t>
    </r>
    <r>
      <rPr>
        <sz val="11"/>
        <color theme="1"/>
        <rFont val="Calibri"/>
        <family val="2"/>
        <charset val="1"/>
      </rPr>
      <t xml:space="preserve">(PR #38 narrative </t>
    </r>
    <r>
      <rPr>
        <sz val="11"/>
        <color theme="1"/>
        <rFont val="PingFang SC"/>
        <family val="2"/>
      </rPr>
      <t xml:space="preserve">정합</t>
    </r>
    <r>
      <rPr>
        <sz val="11"/>
        <color theme="1"/>
        <rFont val="Calibri"/>
        <family val="2"/>
        <charset val="1"/>
      </rPr>
      <t xml:space="preserve">)</t>
    </r>
  </si>
  <si>
    <r>
      <rPr>
        <sz val="11"/>
        <color theme="1"/>
        <rFont val="Calibri"/>
        <family val="2"/>
        <charset val="1"/>
      </rPr>
      <t xml:space="preserve">• Assumptions B36 (Pre-A Inflow): ₩8B → ₩1.5B (Base ₩15</t>
    </r>
    <r>
      <rPr>
        <sz val="11"/>
        <color theme="1"/>
        <rFont val="PingFang SC"/>
        <family val="2"/>
      </rPr>
      <t xml:space="preserve">억 </t>
    </r>
    <r>
      <rPr>
        <sz val="11"/>
        <color theme="1"/>
        <rFont val="Calibri"/>
        <family val="2"/>
        <charset val="1"/>
      </rPr>
      <t xml:space="preserve">mid </t>
    </r>
    <r>
      <rPr>
        <sz val="11"/>
        <color theme="1"/>
        <rFont val="PingFang SC"/>
        <family val="2"/>
      </rPr>
      <t xml:space="preserve">가정</t>
    </r>
    <r>
      <rPr>
        <sz val="11"/>
        <color theme="1"/>
        <rFont val="Calibri"/>
        <family val="2"/>
        <charset val="1"/>
      </rPr>
      <t xml:space="preserve">)</t>
    </r>
  </si>
  <si>
    <r>
      <rPr>
        <sz val="11"/>
        <color theme="1"/>
        <rFont val="Calibri"/>
        <family val="2"/>
        <charset val="1"/>
      </rPr>
      <t xml:space="preserve">• Assumptions D12·§8: CJ #109·#110 supersede </t>
    </r>
    <r>
      <rPr>
        <sz val="11"/>
        <color theme="1"/>
        <rFont val="PingFang SC"/>
        <family val="2"/>
      </rPr>
      <t xml:space="preserve">주석 추가 </t>
    </r>
    <r>
      <rPr>
        <sz val="11"/>
        <color theme="1"/>
        <rFont val="Calibri"/>
        <family val="2"/>
        <charset val="1"/>
      </rPr>
      <t xml:space="preserve">(PR #40 PARTNER_</t>
    </r>
    <r>
      <rPr>
        <sz val="11"/>
        <color theme="1"/>
        <rFont val="PingFang SC"/>
        <family val="2"/>
      </rPr>
      <t xml:space="preserve">물류사대안</t>
    </r>
    <r>
      <rPr>
        <sz val="11"/>
        <color theme="1"/>
        <rFont val="Calibri"/>
        <family val="2"/>
        <charset val="1"/>
      </rPr>
      <t xml:space="preserve">)</t>
    </r>
  </si>
  <si>
    <r>
      <rPr>
        <sz val="11"/>
        <color theme="1"/>
        <rFont val="Calibri"/>
        <family val="2"/>
        <charset val="1"/>
      </rPr>
      <t xml:space="preserve">• PreA_Scenarios </t>
    </r>
    <r>
      <rPr>
        <sz val="11"/>
        <color theme="1"/>
        <rFont val="PingFang SC"/>
        <family val="2"/>
      </rPr>
      <t xml:space="preserve">시나리오 표</t>
    </r>
    <r>
      <rPr>
        <sz val="11"/>
        <color theme="1"/>
        <rFont val="Calibri"/>
        <family val="2"/>
        <charset val="1"/>
      </rPr>
      <t xml:space="preserve">·Use of Funds </t>
    </r>
    <r>
      <rPr>
        <sz val="11"/>
        <color theme="1"/>
        <rFont val="PingFang SC"/>
        <family val="2"/>
      </rPr>
      <t xml:space="preserve">비중</t>
    </r>
    <r>
      <rPr>
        <sz val="11"/>
        <color theme="1"/>
        <rFont val="Calibri"/>
        <family val="2"/>
        <charset val="1"/>
      </rPr>
      <t xml:space="preserve">·</t>
    </r>
    <r>
      <rPr>
        <sz val="11"/>
        <color theme="1"/>
        <rFont val="PingFang SC"/>
        <family val="2"/>
      </rPr>
      <t xml:space="preserve">정부지원 </t>
    </r>
    <r>
      <rPr>
        <sz val="11"/>
        <color theme="1"/>
        <rFont val="Calibri"/>
        <family val="2"/>
        <charset val="1"/>
      </rPr>
      <t xml:space="preserve">narrative </t>
    </r>
    <r>
      <rPr>
        <sz val="11"/>
        <color theme="1"/>
        <rFont val="PingFang SC"/>
        <family val="2"/>
      </rPr>
      <t xml:space="preserve">갱신</t>
    </r>
  </si>
  <si>
    <r>
      <rPr>
        <sz val="11"/>
        <color theme="1"/>
        <rFont val="Calibri"/>
        <family val="2"/>
        <charset val="1"/>
      </rPr>
      <t xml:space="preserve">• BEP_Runway Section B·E (RECONCILIATION) narrative </t>
    </r>
    <r>
      <rPr>
        <sz val="11"/>
        <color theme="1"/>
        <rFont val="PingFang SC"/>
        <family val="2"/>
      </rPr>
      <t xml:space="preserve">갱신</t>
    </r>
    <r>
      <rPr>
        <sz val="11"/>
        <color theme="1"/>
        <rFont val="Calibri"/>
        <family val="2"/>
        <charset val="1"/>
      </rPr>
      <t xml:space="preserve">·</t>
    </r>
    <r>
      <rPr>
        <sz val="11"/>
        <color theme="1"/>
        <rFont val="PingFang SC"/>
        <family val="2"/>
      </rPr>
      <t xml:space="preserve">중복 헤더 제거</t>
    </r>
  </si>
  <si>
    <r>
      <rPr>
        <sz val="11"/>
        <color theme="1"/>
        <rFont val="Calibri"/>
        <family val="2"/>
        <charset val="1"/>
      </rPr>
      <t xml:space="preserve">• IR Pitch v3 Slide 14 Use of Funds </t>
    </r>
    <r>
      <rPr>
        <sz val="11"/>
        <color theme="1"/>
        <rFont val="PingFang SC"/>
        <family val="2"/>
      </rPr>
      <t xml:space="preserve">비중 </t>
    </r>
    <r>
      <rPr>
        <sz val="11"/>
        <color theme="1"/>
        <rFont val="Calibri"/>
        <family val="2"/>
        <charset val="1"/>
      </rPr>
      <t xml:space="preserve">(</t>
    </r>
    <r>
      <rPr>
        <sz val="11"/>
        <color theme="1"/>
        <rFont val="PingFang SC"/>
        <family val="2"/>
      </rPr>
      <t xml:space="preserve">마케팅 </t>
    </r>
    <r>
      <rPr>
        <sz val="11"/>
        <color theme="1"/>
        <rFont val="Calibri"/>
        <family val="2"/>
        <charset val="1"/>
      </rPr>
      <t xml:space="preserve">40%/UAE </t>
    </r>
    <r>
      <rPr>
        <sz val="11"/>
        <color theme="1"/>
        <rFont val="PingFang SC"/>
        <family val="2"/>
      </rPr>
      <t xml:space="preserve">진출 </t>
    </r>
    <r>
      <rPr>
        <sz val="11"/>
        <color theme="1"/>
        <rFont val="Calibri"/>
        <family val="2"/>
        <charset val="1"/>
      </rPr>
      <t xml:space="preserve">20%/</t>
    </r>
    <r>
      <rPr>
        <sz val="11"/>
        <color theme="1"/>
        <rFont val="PingFang SC"/>
        <family val="2"/>
      </rPr>
      <t xml:space="preserve">인력 </t>
    </r>
    <r>
      <rPr>
        <sz val="11"/>
        <color theme="1"/>
        <rFont val="Calibri"/>
        <family val="2"/>
        <charset val="1"/>
      </rPr>
      <t xml:space="preserve">15%/</t>
    </r>
    <r>
      <rPr>
        <sz val="11"/>
        <color theme="1"/>
        <rFont val="PingFang SC"/>
        <family val="2"/>
      </rPr>
      <t xml:space="preserve">기술 </t>
    </r>
    <r>
      <rPr>
        <sz val="11"/>
        <color theme="1"/>
        <rFont val="Calibri"/>
        <family val="2"/>
        <charset val="1"/>
      </rPr>
      <t xml:space="preserve">10%/</t>
    </r>
    <r>
      <rPr>
        <sz val="11"/>
        <color theme="1"/>
        <rFont val="PingFang SC"/>
        <family val="2"/>
      </rPr>
      <t xml:space="preserve">예비 </t>
    </r>
    <r>
      <rPr>
        <sz val="11"/>
        <color theme="1"/>
        <rFont val="Calibri"/>
        <family val="2"/>
        <charset val="1"/>
      </rPr>
      <t xml:space="preserve">10%/</t>
    </r>
    <r>
      <rPr>
        <sz val="11"/>
        <color theme="1"/>
        <rFont val="PingFang SC"/>
        <family val="2"/>
      </rPr>
      <t xml:space="preserve">법무 </t>
    </r>
    <r>
      <rPr>
        <sz val="11"/>
        <color theme="1"/>
        <rFont val="Calibri"/>
        <family val="2"/>
        <charset val="1"/>
      </rPr>
      <t xml:space="preserve">5%) </t>
    </r>
    <r>
      <rPr>
        <sz val="11"/>
        <color theme="1"/>
        <rFont val="PingFang SC"/>
        <family val="2"/>
      </rPr>
      <t xml:space="preserve">정합</t>
    </r>
  </si>
  <si>
    <r>
      <rPr>
        <b val="true"/>
        <sz val="11"/>
        <rFont val="Arial"/>
        <family val="0"/>
        <charset val="1"/>
      </rPr>
      <t xml:space="preserve">🆕 v1.7 </t>
    </r>
    <r>
      <rPr>
        <b val="true"/>
        <sz val="11"/>
        <rFont val="PingFang SC"/>
        <family val="2"/>
      </rPr>
      <t xml:space="preserve">변경 </t>
    </r>
    <r>
      <rPr>
        <b val="true"/>
        <sz val="11"/>
        <rFont val="Arial"/>
        <family val="0"/>
        <charset val="1"/>
      </rPr>
      <t xml:space="preserve">(2026-05-28) — Government Support </t>
    </r>
    <r>
      <rPr>
        <b val="true"/>
        <sz val="11"/>
        <rFont val="PingFang SC"/>
        <family val="2"/>
      </rPr>
      <t xml:space="preserve">확장</t>
    </r>
  </si>
  <si>
    <r>
      <rPr>
        <sz val="11"/>
        <color theme="1"/>
        <rFont val="Calibri"/>
        <family val="2"/>
        <charset val="1"/>
      </rPr>
      <t xml:space="preserve">• Assumptions §9 </t>
    </r>
    <r>
      <rPr>
        <sz val="11"/>
        <color theme="1"/>
        <rFont val="PingFang SC"/>
        <family val="2"/>
      </rPr>
      <t xml:space="preserve">신규 — </t>
    </r>
    <r>
      <rPr>
        <sz val="11"/>
        <color theme="1"/>
        <rFont val="Calibri"/>
        <family val="2"/>
        <charset val="1"/>
      </rPr>
      <t xml:space="preserve">Government Support Schedule (</t>
    </r>
    <r>
      <rPr>
        <sz val="11"/>
        <color theme="1"/>
        <rFont val="PingFang SC"/>
        <family val="2"/>
      </rPr>
      <t xml:space="preserve">전 </t>
    </r>
    <r>
      <rPr>
        <sz val="11"/>
        <color theme="1"/>
        <rFont val="Calibri"/>
        <family val="2"/>
        <charset val="1"/>
      </rPr>
      <t xml:space="preserve">22 </t>
    </r>
    <r>
      <rPr>
        <sz val="11"/>
        <color theme="1"/>
        <rFont val="PingFang SC"/>
        <family val="2"/>
      </rPr>
      <t xml:space="preserve">프로그램</t>
    </r>
    <r>
      <rPr>
        <sz val="11"/>
        <color theme="1"/>
        <rFont val="Calibri"/>
        <family val="2"/>
        <charset val="1"/>
      </rPr>
      <t xml:space="preserve">, Phase 0/1/1.5/</t>
    </r>
    <r>
      <rPr>
        <sz val="11"/>
        <color theme="1"/>
        <rFont val="PingFang SC"/>
        <family val="2"/>
      </rPr>
      <t xml:space="preserve">보증</t>
    </r>
    <r>
      <rPr>
        <sz val="11"/>
        <color theme="1"/>
        <rFont val="Calibri"/>
        <family val="2"/>
        <charset val="1"/>
      </rPr>
      <t xml:space="preserve">)</t>
    </r>
  </si>
  <si>
    <r>
      <rPr>
        <sz val="11"/>
        <color theme="1"/>
        <rFont val="Calibri"/>
        <family val="2"/>
        <charset val="1"/>
      </rPr>
      <t xml:space="preserve">  · </t>
    </r>
    <r>
      <rPr>
        <sz val="11"/>
        <color theme="1"/>
        <rFont val="PingFang SC"/>
        <family val="2"/>
      </rPr>
      <t xml:space="preserve">자본성 </t>
    </r>
    <r>
      <rPr>
        <sz val="11"/>
        <color theme="1"/>
        <rFont val="Calibri"/>
        <family val="2"/>
        <charset val="1"/>
      </rPr>
      <t xml:space="preserve">19</t>
    </r>
    <r>
      <rPr>
        <sz val="11"/>
        <color theme="1"/>
        <rFont val="PingFang SC"/>
        <family val="2"/>
      </rPr>
      <t xml:space="preserve">건</t>
    </r>
    <r>
      <rPr>
        <sz val="11"/>
        <color theme="1"/>
        <rFont val="Calibri"/>
        <family val="2"/>
        <charset val="1"/>
      </rPr>
      <t xml:space="preserve">: </t>
    </r>
    <r>
      <rPr>
        <sz val="11"/>
        <color theme="1"/>
        <rFont val="PingFang SC"/>
        <family val="2"/>
      </rPr>
      <t xml:space="preserve">예비창업</t>
    </r>
    <r>
      <rPr>
        <sz val="11"/>
        <color theme="1"/>
        <rFont val="Calibri"/>
        <family val="2"/>
        <charset val="1"/>
      </rPr>
      <t xml:space="preserve">·</t>
    </r>
    <r>
      <rPr>
        <sz val="11"/>
        <color theme="1"/>
        <rFont val="PingFang SC"/>
        <family val="2"/>
      </rPr>
      <t xml:space="preserve">초기창업</t>
    </r>
    <r>
      <rPr>
        <sz val="11"/>
        <color theme="1"/>
        <rFont val="Calibri"/>
        <family val="2"/>
        <charset val="1"/>
      </rPr>
      <t xml:space="preserve">·</t>
    </r>
    <r>
      <rPr>
        <sz val="11"/>
        <color theme="1"/>
        <rFont val="PingFang SC"/>
        <family val="2"/>
      </rPr>
      <t xml:space="preserve">청년창업사관</t>
    </r>
    <r>
      <rPr>
        <sz val="11"/>
        <color theme="1"/>
        <rFont val="Calibri"/>
        <family val="2"/>
        <charset val="1"/>
      </rPr>
      <t xml:space="preserve">·R&amp;D·</t>
    </r>
    <r>
      <rPr>
        <sz val="11"/>
        <color theme="1"/>
        <rFont val="PingFang SC"/>
        <family val="2"/>
      </rPr>
      <t xml:space="preserve">수출바우처</t>
    </r>
    <r>
      <rPr>
        <sz val="11"/>
        <color theme="1"/>
        <rFont val="Calibri"/>
        <family val="2"/>
        <charset val="1"/>
      </rPr>
      <t xml:space="preserve">·KIDP·</t>
    </r>
    <r>
      <rPr>
        <sz val="11"/>
        <color theme="1"/>
        <rFont val="PingFang SC"/>
        <family val="2"/>
      </rPr>
      <t xml:space="preserve">청년일자리</t>
    </r>
    <r>
      <rPr>
        <sz val="11"/>
        <color theme="1"/>
        <rFont val="Calibri"/>
        <family val="2"/>
        <charset val="1"/>
      </rPr>
      <t xml:space="preserve">·SBA·TIPS·K-Startup</t>
    </r>
    <r>
      <rPr>
        <sz val="11"/>
        <color theme="1"/>
        <rFont val="PingFang SC"/>
        <family val="2"/>
      </rPr>
      <t xml:space="preserve">글로벌</t>
    </r>
    <r>
      <rPr>
        <sz val="11"/>
        <color theme="1"/>
        <rFont val="Calibri"/>
        <family val="2"/>
        <charset val="1"/>
      </rPr>
      <t xml:space="preserve">·KOTRA GP·</t>
    </r>
    <r>
      <rPr>
        <sz val="11"/>
        <color theme="1"/>
        <rFont val="PingFang SC"/>
        <family val="2"/>
      </rPr>
      <t xml:space="preserve">콘텐츠진흥</t>
    </r>
    <r>
      <rPr>
        <sz val="11"/>
        <color theme="1"/>
        <rFont val="Calibri"/>
        <family val="2"/>
        <charset val="1"/>
      </rPr>
      <t xml:space="preserve">·</t>
    </r>
    <r>
      <rPr>
        <sz val="11"/>
        <color theme="1"/>
        <rFont val="PingFang SC"/>
        <family val="2"/>
      </rPr>
      <t xml:space="preserve">창업맞춤</t>
    </r>
    <r>
      <rPr>
        <sz val="11"/>
        <color theme="1"/>
        <rFont val="Calibri"/>
        <family val="2"/>
        <charset val="1"/>
      </rPr>
      <t xml:space="preserve">·</t>
    </r>
    <r>
      <rPr>
        <sz val="11"/>
        <color theme="1"/>
        <rFont val="PingFang SC"/>
        <family val="2"/>
      </rPr>
      <t xml:space="preserve">수출초보</t>
    </r>
    <r>
      <rPr>
        <sz val="11"/>
        <color theme="1"/>
        <rFont val="Calibri"/>
        <family val="2"/>
        <charset val="1"/>
      </rPr>
      <t xml:space="preserve">·</t>
    </r>
    <r>
      <rPr>
        <sz val="11"/>
        <color theme="1"/>
        <rFont val="PingFang SC"/>
        <family val="2"/>
      </rPr>
      <t xml:space="preserve">글로벌강소기업</t>
    </r>
    <r>
      <rPr>
        <sz val="11"/>
        <color theme="1"/>
        <rFont val="Calibri"/>
        <family val="2"/>
        <charset val="1"/>
      </rPr>
      <t xml:space="preserve">·</t>
    </r>
    <r>
      <rPr>
        <sz val="11"/>
        <color theme="1"/>
        <rFont val="PingFang SC"/>
        <family val="2"/>
      </rPr>
      <t xml:space="preserve">사회적기업</t>
    </r>
    <r>
      <rPr>
        <sz val="11"/>
        <color theme="1"/>
        <rFont val="Calibri"/>
        <family val="2"/>
        <charset val="1"/>
      </rPr>
      <t xml:space="preserve">·</t>
    </r>
    <r>
      <rPr>
        <sz val="11"/>
        <color theme="1"/>
        <rFont val="PingFang SC"/>
        <family val="2"/>
      </rPr>
      <t xml:space="preserve">창업도약</t>
    </r>
    <r>
      <rPr>
        <sz val="11"/>
        <color theme="1"/>
        <rFont val="Calibri"/>
        <family val="2"/>
        <charset val="1"/>
      </rPr>
      <t xml:space="preserve">·K</t>
    </r>
    <r>
      <rPr>
        <sz val="11"/>
        <color theme="1"/>
        <rFont val="PingFang SC"/>
        <family val="2"/>
      </rPr>
      <t xml:space="preserve">스타트업본선</t>
    </r>
    <r>
      <rPr>
        <sz val="11"/>
        <color theme="1"/>
        <rFont val="Calibri"/>
        <family val="2"/>
        <charset val="1"/>
      </rPr>
      <t xml:space="preserve">·</t>
    </r>
    <r>
      <rPr>
        <sz val="11"/>
        <color theme="1"/>
        <rFont val="PingFang SC"/>
        <family val="2"/>
      </rPr>
      <t xml:space="preserve">글로벌진출</t>
    </r>
    <r>
      <rPr>
        <sz val="11"/>
        <color theme="1"/>
        <rFont val="Calibri"/>
        <family val="2"/>
        <charset val="1"/>
      </rPr>
      <t xml:space="preserve">R&amp;D</t>
    </r>
  </si>
  <si>
    <r>
      <rPr>
        <sz val="11"/>
        <color theme="1"/>
        <rFont val="Calibri"/>
        <family val="2"/>
        <charset val="1"/>
      </rPr>
      <t xml:space="preserve">  · </t>
    </r>
    <r>
      <rPr>
        <sz val="11"/>
        <color theme="1"/>
        <rFont val="PingFang SC"/>
        <family val="2"/>
      </rPr>
      <t xml:space="preserve">보증</t>
    </r>
    <r>
      <rPr>
        <sz val="11"/>
        <color theme="1"/>
        <rFont val="Calibri"/>
        <family val="2"/>
        <charset val="1"/>
      </rPr>
      <t xml:space="preserve">·</t>
    </r>
    <r>
      <rPr>
        <sz val="11"/>
        <color theme="1"/>
        <rFont val="PingFang SC"/>
        <family val="2"/>
      </rPr>
      <t xml:space="preserve">대출 </t>
    </r>
    <r>
      <rPr>
        <sz val="11"/>
        <color theme="1"/>
        <rFont val="Calibri"/>
        <family val="2"/>
        <charset val="1"/>
      </rPr>
      <t xml:space="preserve">3</t>
    </r>
    <r>
      <rPr>
        <sz val="11"/>
        <color theme="1"/>
        <rFont val="PingFang SC"/>
        <family val="2"/>
      </rPr>
      <t xml:space="preserve">건</t>
    </r>
    <r>
      <rPr>
        <sz val="11"/>
        <color theme="1"/>
        <rFont val="Calibri"/>
        <family val="2"/>
        <charset val="1"/>
      </rPr>
      <t xml:space="preserve">: </t>
    </r>
    <r>
      <rPr>
        <sz val="11"/>
        <color theme="1"/>
        <rFont val="PingFang SC"/>
        <family val="2"/>
      </rPr>
      <t xml:space="preserve">기술보증</t>
    </r>
    <r>
      <rPr>
        <sz val="11"/>
        <color theme="1"/>
        <rFont val="Calibri"/>
        <family val="2"/>
        <charset val="1"/>
      </rPr>
      <t xml:space="preserve">·</t>
    </r>
    <r>
      <rPr>
        <sz val="11"/>
        <color theme="1"/>
        <rFont val="PingFang SC"/>
        <family val="2"/>
      </rPr>
      <t xml:space="preserve">신용보증</t>
    </r>
    <r>
      <rPr>
        <sz val="11"/>
        <color theme="1"/>
        <rFont val="Calibri"/>
        <family val="2"/>
        <charset val="1"/>
      </rPr>
      <t xml:space="preserve">·</t>
    </r>
    <r>
      <rPr>
        <sz val="11"/>
        <color theme="1"/>
        <rFont val="PingFang SC"/>
        <family val="2"/>
      </rPr>
      <t xml:space="preserve">창업기업 운영자금 </t>
    </r>
    <r>
      <rPr>
        <sz val="11"/>
        <color theme="1"/>
        <rFont val="Calibri"/>
        <family val="2"/>
        <charset val="1"/>
      </rPr>
      <t xml:space="preserve">(</t>
    </r>
    <r>
      <rPr>
        <sz val="11"/>
        <color theme="1"/>
        <rFont val="PingFang SC"/>
        <family val="2"/>
      </rPr>
      <t xml:space="preserve">저리</t>
    </r>
    <r>
      <rPr>
        <sz val="11"/>
        <color theme="1"/>
        <rFont val="Calibri"/>
        <family val="2"/>
        <charset val="1"/>
      </rPr>
      <t xml:space="preserve">)</t>
    </r>
  </si>
  <si>
    <r>
      <rPr>
        <sz val="11"/>
        <color theme="1"/>
        <rFont val="Calibri"/>
        <family val="2"/>
        <charset val="1"/>
      </rPr>
      <t xml:space="preserve">• CashFlow E (Govt Support Inflow): </t>
    </r>
    <r>
      <rPr>
        <sz val="11"/>
        <color theme="1"/>
        <rFont val="PingFang SC"/>
        <family val="2"/>
      </rPr>
      <t xml:space="preserve">확장 — </t>
    </r>
    <r>
      <rPr>
        <sz val="11"/>
        <color theme="1"/>
        <rFont val="Calibri"/>
        <family val="2"/>
        <charset val="1"/>
      </rPr>
      <t xml:space="preserve">22 </t>
    </r>
    <r>
      <rPr>
        <sz val="11"/>
        <color theme="1"/>
        <rFont val="PingFang SC"/>
        <family val="2"/>
      </rPr>
      <t xml:space="preserve">프로그램 월별 자동 합산</t>
    </r>
  </si>
  <si>
    <r>
      <rPr>
        <sz val="11"/>
        <color theme="1"/>
        <rFont val="Calibri"/>
        <family val="2"/>
        <charset val="1"/>
      </rPr>
      <t xml:space="preserve">• PreA_Scenarios §3 (</t>
    </r>
    <r>
      <rPr>
        <sz val="11"/>
        <color theme="1"/>
        <rFont val="PingFang SC"/>
        <family val="2"/>
      </rPr>
      <t xml:space="preserve">정부지원 </t>
    </r>
    <r>
      <rPr>
        <sz val="11"/>
        <color theme="1"/>
        <rFont val="Calibri"/>
        <family val="2"/>
        <charset val="1"/>
      </rPr>
      <t xml:space="preserve">schedule): </t>
    </r>
    <r>
      <rPr>
        <sz val="11"/>
        <color theme="1"/>
        <rFont val="PingFang SC"/>
        <family val="2"/>
      </rPr>
      <t xml:space="preserve">전 프로그램 매핑 </t>
    </r>
    <r>
      <rPr>
        <sz val="11"/>
        <color theme="1"/>
        <rFont val="Calibri"/>
        <family val="2"/>
        <charset val="1"/>
      </rPr>
      <t xml:space="preserve">(Phase </t>
    </r>
    <r>
      <rPr>
        <sz val="11"/>
        <color theme="1"/>
        <rFont val="PingFang SC"/>
        <family val="2"/>
      </rPr>
      <t xml:space="preserve">별 분류</t>
    </r>
    <r>
      <rPr>
        <sz val="11"/>
        <color theme="1"/>
        <rFont val="Calibri"/>
        <family val="2"/>
        <charset val="1"/>
      </rPr>
      <t xml:space="preserve">)</t>
    </r>
  </si>
  <si>
    <r>
      <rPr>
        <sz val="11"/>
        <color theme="1"/>
        <rFont val="PingFang SC"/>
        <family val="2"/>
      </rPr>
      <t xml:space="preserve">• 누적 정부지원 합계 변경</t>
    </r>
    <r>
      <rPr>
        <sz val="11"/>
        <color theme="1"/>
        <rFont val="Calibri"/>
        <family val="2"/>
        <charset val="1"/>
      </rPr>
      <t xml:space="preserve">: </t>
    </r>
    <r>
      <rPr>
        <sz val="11"/>
        <color theme="1"/>
        <rFont val="PingFang SC"/>
        <family val="2"/>
      </rPr>
      <t xml:space="preserve">옛 ₩</t>
    </r>
    <r>
      <rPr>
        <sz val="11"/>
        <color theme="1"/>
        <rFont val="Calibri"/>
        <family val="2"/>
        <charset val="1"/>
      </rPr>
      <t xml:space="preserve">4-5</t>
    </r>
    <r>
      <rPr>
        <sz val="11"/>
        <color theme="1"/>
        <rFont val="PingFang SC"/>
        <family val="2"/>
      </rPr>
      <t xml:space="preserve">억 → 신규 자본성 ₩</t>
    </r>
    <r>
      <rPr>
        <sz val="11"/>
        <color theme="1"/>
        <rFont val="Calibri"/>
        <family val="2"/>
        <charset val="1"/>
      </rPr>
      <t xml:space="preserve">23-37</t>
    </r>
    <r>
      <rPr>
        <sz val="11"/>
        <color theme="1"/>
        <rFont val="PingFang SC"/>
        <family val="2"/>
      </rPr>
      <t xml:space="preserve">억 </t>
    </r>
    <r>
      <rPr>
        <sz val="11"/>
        <color theme="1"/>
        <rFont val="Calibri"/>
        <family val="2"/>
        <charset val="1"/>
      </rPr>
      <t xml:space="preserve">(Base) + </t>
    </r>
    <r>
      <rPr>
        <sz val="11"/>
        <color theme="1"/>
        <rFont val="PingFang SC"/>
        <family val="2"/>
      </rPr>
      <t xml:space="preserve">보증 ₩</t>
    </r>
    <r>
      <rPr>
        <sz val="11"/>
        <color theme="1"/>
        <rFont val="Calibri"/>
        <family val="2"/>
        <charset val="1"/>
      </rPr>
      <t xml:space="preserve">7-13</t>
    </r>
    <r>
      <rPr>
        <sz val="11"/>
        <color theme="1"/>
        <rFont val="PingFang SC"/>
        <family val="2"/>
      </rPr>
      <t xml:space="preserve">억</t>
    </r>
  </si>
  <si>
    <t xml:space="preserve">🎯 Assumptions — 입력 가정 SSOT (모든 노란 셀 = 변경 가능)
[원본 제목: Assumptions — 입력 가정 (노란 셀)]
목적: 재무 모델 전체의 모든 입력값을 한곳에 모은 단일 출처(SSOT). 이 시트만 변경하면 모든 다른 시트에 자동 반영됨.
얻을 수 있는 정보: FX 환율 · AOV(객단가) · Take Rate(수수료율) · PG 수수료 · DDP 물류단가 · 성장률 · 인건비 · 마케팅 비율 · FTE 인력계획 · Pre-A 자금 · 정부지원 일정 · 보관단가(CJ) · 셀러수 가정
보는 법: ① 노란 배경+파란 글씨 셀 = 변경 가능한 입력값(가정). ② 그 외 셀 = 자동 계산(수정 금지). ③ D열(출처) = 가정의 근거. ④ 변경 시 Revenue·PnL·CashFlow·Sensitivity 모두 즉시 재계산.</t>
  </si>
  <si>
    <r>
      <rPr>
        <b val="true"/>
        <sz val="11"/>
        <color rgb="FF9F402D"/>
        <rFont val="Arial"/>
        <family val="0"/>
        <charset val="1"/>
      </rPr>
      <t xml:space="preserve">═══ 1. </t>
    </r>
    <r>
      <rPr>
        <b val="true"/>
        <sz val="11"/>
        <color rgb="FF9F402D"/>
        <rFont val="PingFang SC"/>
        <family val="2"/>
      </rPr>
      <t xml:space="preserve">시장</t>
    </r>
    <r>
      <rPr>
        <b val="true"/>
        <sz val="11"/>
        <color rgb="FF9F402D"/>
        <rFont val="Arial"/>
        <family val="0"/>
        <charset val="1"/>
      </rPr>
      <t xml:space="preserve">·</t>
    </r>
    <r>
      <rPr>
        <b val="true"/>
        <sz val="11"/>
        <color rgb="FF9F402D"/>
        <rFont val="PingFang SC"/>
        <family val="2"/>
      </rPr>
      <t xml:space="preserve">통화 ═══</t>
    </r>
  </si>
  <si>
    <t xml:space="preserve">FX Rate (KRW/USD)</t>
  </si>
  <si>
    <t xml:space="preserve">KRW/USD</t>
  </si>
  <si>
    <r>
      <rPr>
        <i val="true"/>
        <sz val="9"/>
        <color rgb="FF56423E"/>
        <rFont val="Arial"/>
        <family val="0"/>
        <charset val="1"/>
      </rPr>
      <t xml:space="preserve">Source: 2026-05 </t>
    </r>
    <r>
      <rPr>
        <i val="true"/>
        <sz val="9"/>
        <color rgb="FF56423E"/>
        <rFont val="PingFang SC"/>
        <family val="2"/>
      </rPr>
      <t xml:space="preserve">평균</t>
    </r>
  </si>
  <si>
    <t xml:space="preserve">═══ 2. Unit Economics ═══</t>
  </si>
  <si>
    <r>
      <rPr>
        <sz val="10"/>
        <color rgb="FF000000"/>
        <rFont val="Arial"/>
        <family val="0"/>
        <charset val="1"/>
      </rPr>
      <t xml:space="preserve">AOV — Average Order Value · </t>
    </r>
    <r>
      <rPr>
        <sz val="10"/>
        <color rgb="FF000000"/>
        <rFont val="PingFang SC"/>
        <family val="2"/>
      </rPr>
      <t xml:space="preserve">평균 주문가 </t>
    </r>
    <r>
      <rPr>
        <sz val="10"/>
        <color rgb="FF000000"/>
        <rFont val="Arial"/>
        <family val="0"/>
        <charset val="1"/>
      </rPr>
      <t xml:space="preserve">(USD)</t>
    </r>
  </si>
  <si>
    <t xml:space="preserve">USD</t>
  </si>
  <si>
    <r>
      <rPr>
        <i val="true"/>
        <sz val="9"/>
        <color rgb="FF56423E"/>
        <rFont val="Arial"/>
        <family val="0"/>
        <charset val="1"/>
      </rPr>
      <t xml:space="preserve">Source: YesStyle $40 / Stylevana $60 </t>
    </r>
    <r>
      <rPr>
        <i val="true"/>
        <sz val="9"/>
        <color rgb="FF56423E"/>
        <rFont val="PingFang SC"/>
        <family val="2"/>
      </rPr>
      <t xml:space="preserve">평균</t>
    </r>
  </si>
  <si>
    <t xml:space="preserve">AOV (KRW) — auto</t>
  </si>
  <si>
    <t xml:space="preserve">KRW</t>
  </si>
  <si>
    <r>
      <rPr>
        <sz val="10"/>
        <color rgb="FF000000"/>
        <rFont val="Arial"/>
        <family val="0"/>
        <charset val="1"/>
      </rPr>
      <t xml:space="preserve">Take Rate (</t>
    </r>
    <r>
      <rPr>
        <sz val="10"/>
        <color rgb="FF000000"/>
        <rFont val="PingFang SC"/>
        <family val="2"/>
      </rPr>
      <t xml:space="preserve">수수료율</t>
    </r>
    <r>
      <rPr>
        <sz val="10"/>
        <color rgb="FF000000"/>
        <rFont val="Arial"/>
        <family val="0"/>
        <charset val="1"/>
      </rPr>
      <t xml:space="preserve">, </t>
    </r>
    <r>
      <rPr>
        <sz val="10"/>
        <color rgb="FF000000"/>
        <rFont val="PingFang SC"/>
        <family val="2"/>
      </rPr>
      <t xml:space="preserve">명목 </t>
    </r>
    <r>
      <rPr>
        <sz val="10"/>
        <color rgb="FF000000"/>
        <rFont val="Arial"/>
        <family val="0"/>
        <charset val="1"/>
      </rPr>
      <t xml:space="preserve">%)</t>
    </r>
  </si>
  <si>
    <t xml:space="preserve">%</t>
  </si>
  <si>
    <r>
      <rPr>
        <i val="true"/>
        <sz val="9"/>
        <color rgb="FF56423E"/>
        <rFont val="Arial"/>
        <family val="0"/>
        <charset val="1"/>
      </rPr>
      <t xml:space="preserve">Source: #079 Damii 30% / </t>
    </r>
    <r>
      <rPr>
        <i val="true"/>
        <sz val="9"/>
        <color rgb="FF56423E"/>
        <rFont val="PingFang SC"/>
        <family val="2"/>
      </rPr>
      <t xml:space="preserve">입점사 </t>
    </r>
    <r>
      <rPr>
        <i val="true"/>
        <sz val="9"/>
        <color rgb="FF56423E"/>
        <rFont val="Arial"/>
        <family val="0"/>
        <charset val="1"/>
      </rPr>
      <t xml:space="preserve">70%</t>
    </r>
  </si>
  <si>
    <r>
      <rPr>
        <sz val="10"/>
        <color rgb="FF000000"/>
        <rFont val="Arial"/>
        <family val="0"/>
        <charset val="1"/>
      </rPr>
      <t xml:space="preserve">COGS — Cost Of Goods Sold · </t>
    </r>
    <r>
      <rPr>
        <sz val="10"/>
        <color rgb="FF000000"/>
        <rFont val="PingFang SC"/>
        <family val="2"/>
      </rPr>
      <t xml:space="preserve">매출원가 </t>
    </r>
    <r>
      <rPr>
        <sz val="10"/>
        <color rgb="FF000000"/>
        <rFont val="Arial"/>
        <family val="0"/>
        <charset val="1"/>
      </rPr>
      <t xml:space="preserve">Rate (=1-Take Rate)</t>
    </r>
  </si>
  <si>
    <r>
      <rPr>
        <sz val="10"/>
        <color rgb="FF000000"/>
        <rFont val="Arial"/>
        <family val="0"/>
        <charset val="1"/>
      </rPr>
      <t xml:space="preserve">Payment Fee (PG — Payment Gateway · </t>
    </r>
    <r>
      <rPr>
        <sz val="10"/>
        <color rgb="FF000000"/>
        <rFont val="PingFang SC"/>
        <family val="2"/>
      </rPr>
      <t xml:space="preserve">결제대행</t>
    </r>
    <r>
      <rPr>
        <sz val="10"/>
        <color rgb="FF000000"/>
        <rFont val="Arial"/>
        <family val="0"/>
        <charset val="1"/>
      </rPr>
      <t xml:space="preserve">, blended %)</t>
    </r>
  </si>
  <si>
    <r>
      <rPr>
        <i val="true"/>
        <sz val="9"/>
        <color rgb="FF56423E"/>
        <rFont val="Arial"/>
        <family val="0"/>
        <charset val="1"/>
      </rPr>
      <t xml:space="preserve">Source: Stripe 2.5% + Checkout 2.5% (Phase 1, #113) — blended 4%</t>
    </r>
    <r>
      <rPr>
        <i val="true"/>
        <sz val="9"/>
        <color rgb="FF56423E"/>
        <rFont val="PingFang SC"/>
        <family val="2"/>
      </rPr>
      <t xml:space="preserve">는 </t>
    </r>
    <r>
      <rPr>
        <i val="true"/>
        <sz val="9"/>
        <color rgb="FF56423E"/>
        <rFont val="Arial"/>
        <family val="0"/>
        <charset val="1"/>
      </rPr>
      <t xml:space="preserve">Phase 1.5 Tabby </t>
    </r>
    <r>
      <rPr>
        <i val="true"/>
        <sz val="9"/>
        <color rgb="FF56423E"/>
        <rFont val="PingFang SC"/>
        <family val="2"/>
      </rPr>
      <t xml:space="preserve">추가 </t>
    </r>
    <r>
      <rPr>
        <i val="true"/>
        <sz val="9"/>
        <color rgb="FF56423E"/>
        <rFont val="Arial"/>
        <family val="0"/>
        <charset val="1"/>
      </rPr>
      <t xml:space="preserve">(~6%) </t>
    </r>
    <r>
      <rPr>
        <i val="true"/>
        <sz val="9"/>
        <color rgb="FF56423E"/>
        <rFont val="PingFang SC"/>
        <family val="2"/>
      </rPr>
      <t xml:space="preserve">가중 가정 </t>
    </r>
    <r>
      <rPr>
        <i val="true"/>
        <sz val="9"/>
        <color rgb="FF56423E"/>
        <rFont val="Arial"/>
        <family val="0"/>
        <charset val="1"/>
      </rPr>
      <t xml:space="preserve">(#114). Phase 1 </t>
    </r>
    <r>
      <rPr>
        <i val="true"/>
        <sz val="9"/>
        <color rgb="FF56423E"/>
        <rFont val="PingFang SC"/>
        <family val="2"/>
      </rPr>
      <t xml:space="preserve">단독은 </t>
    </r>
    <r>
      <rPr>
        <i val="true"/>
        <sz val="9"/>
        <color rgb="FF56423E"/>
        <rFont val="Arial"/>
        <family val="0"/>
        <charset val="1"/>
      </rPr>
      <t xml:space="preserve">~2.5%</t>
    </r>
  </si>
  <si>
    <r>
      <rPr>
        <sz val="10"/>
        <color rgb="FF000000"/>
        <rFont val="Arial"/>
        <family val="0"/>
        <charset val="1"/>
      </rPr>
      <t xml:space="preserve">DDP — Delivery Duty Paid · </t>
    </r>
    <r>
      <rPr>
        <sz val="10"/>
        <color rgb="FF000000"/>
        <rFont val="PingFang SC"/>
        <family val="2"/>
      </rPr>
      <t xml:space="preserve">관세포함배송 </t>
    </r>
    <r>
      <rPr>
        <sz val="10"/>
        <color rgb="FF000000"/>
        <rFont val="Arial"/>
        <family val="0"/>
        <charset val="1"/>
      </rPr>
      <t xml:space="preserve">+ </t>
    </r>
    <r>
      <rPr>
        <sz val="10"/>
        <color rgb="FF000000"/>
        <rFont val="PingFang SC"/>
        <family val="2"/>
      </rPr>
      <t xml:space="preserve">관세사 수수료 </t>
    </r>
    <r>
      <rPr>
        <sz val="10"/>
        <color rgb="FF000000"/>
        <rFont val="Arial"/>
        <family val="0"/>
        <charset val="1"/>
      </rPr>
      <t xml:space="preserve">per Order (KRW)</t>
    </r>
  </si>
  <si>
    <r>
      <rPr>
        <i val="true"/>
        <sz val="9"/>
        <color rgb="FF56423E"/>
        <rFont val="Arial"/>
        <family val="0"/>
        <charset val="1"/>
      </rPr>
      <t xml:space="preserve">Source: </t>
    </r>
    <r>
      <rPr>
        <i val="true"/>
        <sz val="9"/>
        <color rgb="FF56423E"/>
        <rFont val="PingFang SC"/>
        <family val="2"/>
      </rPr>
      <t xml:space="preserve">신규 물류 파트너 협상 중 </t>
    </r>
    <r>
      <rPr>
        <i val="true"/>
        <sz val="9"/>
        <color rgb="FF56423E"/>
        <rFont val="Arial"/>
        <family val="0"/>
        <charset val="1"/>
      </rPr>
      <t xml:space="preserve">(#109 CJ </t>
    </r>
    <r>
      <rPr>
        <i val="true"/>
        <sz val="9"/>
        <color rgb="FF56423E"/>
        <rFont val="PingFang SC"/>
        <family val="2"/>
      </rPr>
      <t xml:space="preserve">단독 </t>
    </r>
    <r>
      <rPr>
        <i val="true"/>
        <sz val="9"/>
        <color rgb="FF56423E"/>
        <rFont val="Arial"/>
        <family val="0"/>
        <charset val="1"/>
      </rPr>
      <t xml:space="preserve">supersede PR #40, PARTNER_</t>
    </r>
    <r>
      <rPr>
        <i val="true"/>
        <sz val="9"/>
        <color rgb="FF56423E"/>
        <rFont val="PingFang SC"/>
        <family val="2"/>
      </rPr>
      <t xml:space="preserve">물류사대안</t>
    </r>
    <r>
      <rPr>
        <i val="true"/>
        <sz val="9"/>
        <color rgb="FF56423E"/>
        <rFont val="Arial"/>
        <family val="0"/>
        <charset val="1"/>
      </rPr>
      <t xml:space="preserve">.md </t>
    </r>
    <r>
      <rPr>
        <i val="true"/>
        <sz val="9"/>
        <color rgb="FF56423E"/>
        <rFont val="PingFang SC"/>
        <family val="2"/>
      </rPr>
      <t xml:space="preserve">참조</t>
    </r>
    <r>
      <rPr>
        <i val="true"/>
        <sz val="9"/>
        <color rgb="FF56423E"/>
        <rFont val="Arial"/>
        <family val="0"/>
        <charset val="1"/>
      </rPr>
      <t xml:space="preserve">) + </t>
    </r>
    <r>
      <rPr>
        <i val="true"/>
        <sz val="9"/>
        <color rgb="FF56423E"/>
        <rFont val="PingFang SC"/>
        <family val="2"/>
      </rPr>
      <t xml:space="preserve">관세사 ₩</t>
    </r>
    <r>
      <rPr>
        <i val="true"/>
        <sz val="9"/>
        <color rgb="FF56423E"/>
        <rFont val="Arial"/>
        <family val="0"/>
        <charset val="1"/>
      </rPr>
      <t xml:space="preserve">5K (50% </t>
    </r>
    <r>
      <rPr>
        <i val="true"/>
        <sz val="9"/>
        <color rgb="FF56423E"/>
        <rFont val="PingFang SC"/>
        <family val="2"/>
      </rPr>
      <t xml:space="preserve">합배송</t>
    </r>
    <r>
      <rPr>
        <i val="true"/>
        <sz val="9"/>
        <color rgb="FF56423E"/>
        <rFont val="Arial"/>
        <family val="0"/>
        <charset val="1"/>
      </rPr>
      <t xml:space="preserve">, analysis/04 §8)</t>
    </r>
  </si>
  <si>
    <r>
      <rPr>
        <b val="true"/>
        <sz val="11"/>
        <color rgb="FF9F402D"/>
        <rFont val="Arial"/>
        <family val="0"/>
        <charset val="1"/>
      </rPr>
      <t xml:space="preserve">═══ 3. Volume Drivers (</t>
    </r>
    <r>
      <rPr>
        <b val="true"/>
        <sz val="11"/>
        <color rgb="FF9F402D"/>
        <rFont val="PingFang SC"/>
        <family val="2"/>
      </rPr>
      <t xml:space="preserve">월별 성장률</t>
    </r>
    <r>
      <rPr>
        <b val="true"/>
        <sz val="11"/>
        <color rgb="FF9F402D"/>
        <rFont val="Arial"/>
        <family val="0"/>
        <charset val="1"/>
      </rPr>
      <t xml:space="preserve">) ═══</t>
    </r>
  </si>
  <si>
    <r>
      <rPr>
        <sz val="10"/>
        <color rgb="FF000000"/>
        <rFont val="Arial"/>
        <family val="0"/>
        <charset val="1"/>
      </rPr>
      <t xml:space="preserve">M1 (Month 1, </t>
    </r>
    <r>
      <rPr>
        <sz val="10"/>
        <color rgb="FF000000"/>
        <rFont val="PingFang SC"/>
        <family val="2"/>
      </rPr>
      <t xml:space="preserve">정식 오픈월 — </t>
    </r>
    <r>
      <rPr>
        <sz val="10"/>
        <color rgb="FF000000"/>
        <rFont val="Arial"/>
        <family val="0"/>
        <charset val="1"/>
      </rPr>
      <t xml:space="preserve">2026.08, #111) Launch Orders (count)</t>
    </r>
  </si>
  <si>
    <t xml:space="preserve">orders</t>
  </si>
  <si>
    <r>
      <rPr>
        <i val="true"/>
        <sz val="9"/>
        <color rgb="FF56423E"/>
        <rFont val="Arial"/>
        <family val="0"/>
        <charset val="1"/>
      </rPr>
      <t xml:space="preserve">Source: </t>
    </r>
    <r>
      <rPr>
        <i val="true"/>
        <sz val="9"/>
        <color rgb="FF56423E"/>
        <rFont val="PingFang SC"/>
        <family val="2"/>
      </rPr>
      <t xml:space="preserve">베타 </t>
    </r>
    <r>
      <rPr>
        <i val="true"/>
        <sz val="9"/>
        <color rgb="FF56423E"/>
        <rFont val="Arial"/>
        <family val="0"/>
        <charset val="1"/>
      </rPr>
      <t xml:space="preserve">launch </t>
    </r>
    <r>
      <rPr>
        <i val="true"/>
        <sz val="9"/>
        <color rgb="FF56423E"/>
        <rFont val="PingFang SC"/>
        <family val="2"/>
      </rPr>
      <t xml:space="preserve">추정</t>
    </r>
  </si>
  <si>
    <t xml:space="preserve">Growth Rate M1-M6 (%/month)</t>
  </si>
  <si>
    <r>
      <rPr>
        <i val="true"/>
        <sz val="9"/>
        <color rgb="FF56423E"/>
        <rFont val="Arial"/>
        <family val="0"/>
        <charset val="1"/>
      </rPr>
      <t xml:space="preserve">Source: Anchor LOI </t>
    </r>
    <r>
      <rPr>
        <i val="true"/>
        <sz val="9"/>
        <color rgb="FF56423E"/>
        <rFont val="PingFang SC"/>
        <family val="2"/>
      </rPr>
      <t xml:space="preserve">효과</t>
    </r>
  </si>
  <si>
    <t xml:space="preserve">Growth Rate M7-M12 (%/month)</t>
  </si>
  <si>
    <r>
      <rPr>
        <i val="true"/>
        <sz val="9"/>
        <color rgb="FF56423E"/>
        <rFont val="Arial"/>
        <family val="0"/>
        <charset val="1"/>
      </rPr>
      <t xml:space="preserve">Source: </t>
    </r>
    <r>
      <rPr>
        <i val="true"/>
        <sz val="9"/>
        <color rgb="FF56423E"/>
        <rFont val="PingFang SC"/>
        <family val="2"/>
      </rPr>
      <t xml:space="preserve">안정화 단계</t>
    </r>
  </si>
  <si>
    <t xml:space="preserve">Growth Rate M13-M24 (%/month)</t>
  </si>
  <si>
    <r>
      <rPr>
        <i val="true"/>
        <sz val="9"/>
        <color rgb="FF56423E"/>
        <rFont val="Arial"/>
        <family val="0"/>
        <charset val="1"/>
      </rPr>
      <t xml:space="preserve">Source: </t>
    </r>
    <r>
      <rPr>
        <i val="true"/>
        <sz val="9"/>
        <color rgb="FF56423E"/>
        <rFont val="PingFang SC"/>
        <family val="2"/>
      </rPr>
      <t xml:space="preserve">성숙 단계</t>
    </r>
  </si>
  <si>
    <t xml:space="preserve">Growth Rate M25-M36 (%/month)</t>
  </si>
  <si>
    <r>
      <rPr>
        <i val="true"/>
        <sz val="9"/>
        <color rgb="FF56423E"/>
        <rFont val="Arial"/>
        <family val="0"/>
        <charset val="1"/>
      </rPr>
      <t xml:space="preserve">Source: </t>
    </r>
    <r>
      <rPr>
        <i val="true"/>
        <sz val="9"/>
        <color rgb="FF56423E"/>
        <rFont val="PingFang SC"/>
        <family val="2"/>
      </rPr>
      <t xml:space="preserve">포화 단계</t>
    </r>
  </si>
  <si>
    <t xml:space="preserve">═══ 4. OpEx Drivers ═══</t>
  </si>
  <si>
    <t xml:space="preserve">Avg Salary Monthly (KRW, blended)</t>
  </si>
  <si>
    <t xml:space="preserve">KRW/mo</t>
  </si>
  <si>
    <r>
      <rPr>
        <i val="true"/>
        <sz val="9"/>
        <color rgb="FF56423E"/>
        <rFont val="Arial"/>
        <family val="0"/>
        <charset val="1"/>
      </rPr>
      <t xml:space="preserve">Source: </t>
    </r>
    <r>
      <rPr>
        <i val="true"/>
        <sz val="9"/>
        <color rgb="FF56423E"/>
        <rFont val="PingFang SC"/>
        <family val="2"/>
      </rPr>
      <t xml:space="preserve">시장 평균 </t>
    </r>
    <r>
      <rPr>
        <i val="true"/>
        <sz val="9"/>
        <color rgb="FF56423E"/>
        <rFont val="Arial"/>
        <family val="0"/>
        <charset val="1"/>
      </rPr>
      <t xml:space="preserve">(</t>
    </r>
    <r>
      <rPr>
        <i val="true"/>
        <sz val="9"/>
        <color rgb="FF56423E"/>
        <rFont val="PingFang SC"/>
        <family val="2"/>
      </rPr>
      <t xml:space="preserve">개발</t>
    </r>
    <r>
      <rPr>
        <i val="true"/>
        <sz val="9"/>
        <color rgb="FF56423E"/>
        <rFont val="Arial"/>
        <family val="0"/>
        <charset val="1"/>
      </rPr>
      <t xml:space="preserve">·</t>
    </r>
    <r>
      <rPr>
        <i val="true"/>
        <sz val="9"/>
        <color rgb="FF56423E"/>
        <rFont val="PingFang SC"/>
        <family val="2"/>
      </rPr>
      <t xml:space="preserve">디자인</t>
    </r>
    <r>
      <rPr>
        <i val="true"/>
        <sz val="9"/>
        <color rgb="FF56423E"/>
        <rFont val="Arial"/>
        <family val="0"/>
        <charset val="1"/>
      </rPr>
      <t xml:space="preserve">·</t>
    </r>
    <r>
      <rPr>
        <i val="true"/>
        <sz val="9"/>
        <color rgb="FF56423E"/>
        <rFont val="PingFang SC"/>
        <family val="2"/>
      </rPr>
      <t xml:space="preserve">운영 </t>
    </r>
    <r>
      <rPr>
        <i val="true"/>
        <sz val="9"/>
        <color rgb="FF56423E"/>
        <rFont val="Arial"/>
        <family val="0"/>
        <charset val="1"/>
      </rPr>
      <t xml:space="preserve">blended)</t>
    </r>
  </si>
  <si>
    <t xml:space="preserve">Office/SaaS Monthly (KRW)</t>
  </si>
  <si>
    <r>
      <rPr>
        <i val="true"/>
        <sz val="9"/>
        <color rgb="FF56423E"/>
        <rFont val="Arial"/>
        <family val="0"/>
        <charset val="1"/>
      </rPr>
      <t xml:space="preserve">Source: D.CAMP/Maru 360 </t>
    </r>
    <r>
      <rPr>
        <i val="true"/>
        <sz val="9"/>
        <color rgb="FF56423E"/>
        <rFont val="PingFang SC"/>
        <family val="2"/>
      </rPr>
      <t xml:space="preserve">무료 입주 가정 </t>
    </r>
    <r>
      <rPr>
        <i val="true"/>
        <sz val="9"/>
        <color rgb="FF56423E"/>
        <rFont val="Arial"/>
        <family val="0"/>
        <charset val="1"/>
      </rPr>
      <t xml:space="preserve">(GOV_FUNDING_STRATEGY §1). </t>
    </r>
    <r>
      <rPr>
        <i val="true"/>
        <sz val="9"/>
        <color rgb="FF56423E"/>
        <rFont val="PingFang SC"/>
        <family val="2"/>
      </rPr>
      <t xml:space="preserve">자체 임차 시 ₩</t>
    </r>
    <r>
      <rPr>
        <i val="true"/>
        <sz val="9"/>
        <color rgb="FF56423E"/>
        <rFont val="Arial"/>
        <family val="0"/>
        <charset val="1"/>
      </rPr>
      <t xml:space="preserve">5M.</t>
    </r>
  </si>
  <si>
    <t xml:space="preserve">Marketing % of Revenue (Y1)</t>
  </si>
  <si>
    <r>
      <rPr>
        <i val="true"/>
        <sz val="9"/>
        <color rgb="FF56423E"/>
        <rFont val="Arial"/>
        <family val="0"/>
        <charset val="1"/>
      </rPr>
      <t xml:space="preserve">Source: </t>
    </r>
    <r>
      <rPr>
        <i val="true"/>
        <sz val="9"/>
        <color rgb="FF56423E"/>
        <rFont val="PingFang SC"/>
        <family val="2"/>
      </rPr>
      <t xml:space="preserve">초기 </t>
    </r>
    <r>
      <rPr>
        <i val="true"/>
        <sz val="9"/>
        <color rgb="FF56423E"/>
        <rFont val="Arial"/>
        <family val="0"/>
        <charset val="1"/>
      </rPr>
      <t xml:space="preserve">acquisition </t>
    </r>
    <r>
      <rPr>
        <i val="true"/>
        <sz val="9"/>
        <color rgb="FF56423E"/>
        <rFont val="PingFang SC"/>
        <family val="2"/>
      </rPr>
      <t xml:space="preserve">부담</t>
    </r>
  </si>
  <si>
    <t xml:space="preserve">Marketing % of Revenue (Y2)</t>
  </si>
  <si>
    <r>
      <rPr>
        <i val="true"/>
        <sz val="9"/>
        <color rgb="FF56423E"/>
        <rFont val="Arial"/>
        <family val="0"/>
        <charset val="1"/>
      </rPr>
      <t xml:space="preserve">Source: </t>
    </r>
    <r>
      <rPr>
        <i val="true"/>
        <sz val="9"/>
        <color rgb="FF56423E"/>
        <rFont val="PingFang SC"/>
        <family val="2"/>
      </rPr>
      <t xml:space="preserve">안정화</t>
    </r>
  </si>
  <si>
    <t xml:space="preserve">Marketing % of Revenue (Y3)</t>
  </si>
  <si>
    <r>
      <rPr>
        <i val="true"/>
        <sz val="9"/>
        <color rgb="FF56423E"/>
        <rFont val="Arial"/>
        <family val="0"/>
        <charset val="1"/>
      </rPr>
      <t xml:space="preserve">Source: </t>
    </r>
    <r>
      <rPr>
        <i val="true"/>
        <sz val="9"/>
        <color rgb="FF56423E"/>
        <rFont val="PingFang SC"/>
        <family val="2"/>
      </rPr>
      <t xml:space="preserve">성숙</t>
    </r>
  </si>
  <si>
    <t xml:space="preserve">═══ 5. Headcount Plan (FTE) ═══</t>
  </si>
  <si>
    <r>
      <rPr>
        <sz val="10"/>
        <color rgb="FF000000"/>
        <rFont val="Arial"/>
        <family val="0"/>
        <charset val="1"/>
      </rPr>
      <t xml:space="preserve">M1-M6 FTE — Full-Time Equivalent · </t>
    </r>
    <r>
      <rPr>
        <sz val="10"/>
        <color rgb="FF000000"/>
        <rFont val="PingFang SC"/>
        <family val="2"/>
      </rPr>
      <t xml:space="preserve">정규직 환산</t>
    </r>
  </si>
  <si>
    <t xml:space="preserve">FTE</t>
  </si>
  <si>
    <r>
      <rPr>
        <i val="true"/>
        <sz val="9"/>
        <color rgb="FF56423E"/>
        <rFont val="Arial"/>
        <family val="0"/>
        <charset val="1"/>
      </rPr>
      <t xml:space="preserve">Source: </t>
    </r>
    <r>
      <rPr>
        <i val="true"/>
        <sz val="9"/>
        <color rgb="FF56423E"/>
        <rFont val="PingFang SC"/>
        <family val="2"/>
      </rPr>
      <t xml:space="preserve">현 </t>
    </r>
    <r>
      <rPr>
        <i val="true"/>
        <sz val="9"/>
        <color rgb="FF56423E"/>
        <rFont val="Arial"/>
        <family val="0"/>
        <charset val="1"/>
      </rPr>
      <t xml:space="preserve">6</t>
    </r>
    <r>
      <rPr>
        <i val="true"/>
        <sz val="9"/>
        <color rgb="FF56423E"/>
        <rFont val="PingFang SC"/>
        <family val="2"/>
      </rPr>
      <t xml:space="preserve">명 팀</t>
    </r>
  </si>
  <si>
    <t xml:space="preserve">M7-M12 FTE</t>
  </si>
  <si>
    <r>
      <rPr>
        <i val="true"/>
        <sz val="9"/>
        <color rgb="FF56423E"/>
        <rFont val="Arial"/>
        <family val="2"/>
        <charset val="1"/>
      </rPr>
      <t xml:space="preserve">Source: +UAE CS 1, +</t>
    </r>
    <r>
      <rPr>
        <i val="true"/>
        <sz val="9"/>
        <color rgb="FF56423E"/>
        <rFont val="PingFang SC"/>
        <family val="2"/>
      </rPr>
      <t xml:space="preserve">셀러 영업 </t>
    </r>
    <r>
      <rPr>
        <i val="true"/>
        <sz val="9"/>
        <color rgb="FF56423E"/>
        <rFont val="Arial"/>
        <family val="2"/>
        <charset val="1"/>
      </rPr>
      <t xml:space="preserve">1</t>
    </r>
  </si>
  <si>
    <t xml:space="preserve">M13-M24 FTE</t>
  </si>
  <si>
    <t xml:space="preserve">Source: +UAE MD 1, +AI 1</t>
  </si>
  <si>
    <t xml:space="preserve">M25-M36 FTE</t>
  </si>
  <si>
    <r>
      <rPr>
        <i val="true"/>
        <sz val="9"/>
        <color rgb="FF56423E"/>
        <rFont val="Arial"/>
        <family val="0"/>
        <charset val="1"/>
      </rPr>
      <t xml:space="preserve">Source: Phase 1.5 </t>
    </r>
    <r>
      <rPr>
        <i val="true"/>
        <sz val="9"/>
        <color rgb="FF56423E"/>
        <rFont val="PingFang SC"/>
        <family val="2"/>
      </rPr>
      <t xml:space="preserve">전환 대비</t>
    </r>
  </si>
  <si>
    <t xml:space="preserve">═══ 6. Cash &amp; Pre-A ═══</t>
  </si>
  <si>
    <t xml:space="preserve">시작 현금 (KRW, M0)</t>
  </si>
  <si>
    <r>
      <rPr>
        <i val="true"/>
        <sz val="9"/>
        <color rgb="FF56423E"/>
        <rFont val="Arial"/>
        <family val="0"/>
        <charset val="1"/>
      </rPr>
      <t xml:space="preserve">Source: </t>
    </r>
    <r>
      <rPr>
        <i val="true"/>
        <sz val="9"/>
        <color rgb="FF56423E"/>
        <rFont val="PingFang SC"/>
        <family val="2"/>
      </rPr>
      <t xml:space="preserve">자기자본 </t>
    </r>
    <r>
      <rPr>
        <i val="true"/>
        <sz val="9"/>
        <color rgb="FF56423E"/>
        <rFont val="Arial"/>
        <family val="0"/>
        <charset val="1"/>
      </rPr>
      <t xml:space="preserve">+ </t>
    </r>
    <r>
      <rPr>
        <i val="true"/>
        <sz val="9"/>
        <color rgb="FF56423E"/>
        <rFont val="PingFang SC"/>
        <family val="2"/>
      </rPr>
      <t xml:space="preserve">정부지원 일부</t>
    </r>
  </si>
  <si>
    <r>
      <rPr>
        <sz val="10"/>
        <color rgb="FF000000"/>
        <rFont val="Arial"/>
        <family val="0"/>
        <charset val="1"/>
      </rPr>
      <t xml:space="preserve">Pre-A (Pre-Series A) Inflow — </t>
    </r>
    <r>
      <rPr>
        <sz val="10"/>
        <color rgb="FF000000"/>
        <rFont val="PingFang SC"/>
        <family val="2"/>
      </rPr>
      <t xml:space="preserve">유입 </t>
    </r>
    <r>
      <rPr>
        <sz val="10"/>
        <color rgb="FF000000"/>
        <rFont val="Arial"/>
        <family val="0"/>
        <charset val="1"/>
      </rPr>
      <t xml:space="preserve">(KRW)</t>
    </r>
  </si>
  <si>
    <r>
      <rPr>
        <i val="true"/>
        <sz val="9"/>
        <color rgb="FF56423E"/>
        <rFont val="Arial"/>
        <family val="0"/>
        <charset val="1"/>
      </rPr>
      <t xml:space="preserve">Source: ₩10-20</t>
    </r>
    <r>
      <rPr>
        <i val="true"/>
        <sz val="9"/>
        <color rgb="FF56423E"/>
        <rFont val="PingFang SC"/>
        <family val="2"/>
      </rPr>
      <t xml:space="preserve">억 기본 시나리오 중간값 </t>
    </r>
    <r>
      <rPr>
        <i val="true"/>
        <sz val="9"/>
        <color rgb="FF56423E"/>
        <rFont val="Arial"/>
        <family val="0"/>
        <charset val="1"/>
      </rPr>
      <t xml:space="preserve">(Pre-A 2</t>
    </r>
    <r>
      <rPr>
        <i val="true"/>
        <sz val="9"/>
        <color rgb="FF56423E"/>
        <rFont val="PingFang SC"/>
        <family val="2"/>
      </rPr>
      <t xml:space="preserve">차 재사이즈</t>
    </r>
    <r>
      <rPr>
        <i val="true"/>
        <sz val="9"/>
        <color rgb="FF56423E"/>
        <rFont val="Arial"/>
        <family val="0"/>
        <charset val="1"/>
      </rPr>
      <t xml:space="preserve">, CEO </t>
    </r>
    <r>
      <rPr>
        <i val="true"/>
        <sz val="9"/>
        <color rgb="FF56423E"/>
        <rFont val="PingFang SC"/>
        <family val="2"/>
      </rPr>
      <t xml:space="preserve">결정 </t>
    </r>
    <r>
      <rPr>
        <i val="true"/>
        <sz val="9"/>
        <color rgb="FF56423E"/>
        <rFont val="Arial"/>
        <family val="0"/>
        <charset val="1"/>
      </rPr>
      <t xml:space="preserve">PR #38·v1.5)</t>
    </r>
  </si>
  <si>
    <t xml:space="preserve">Pre-A Inflow Month</t>
  </si>
  <si>
    <t xml:space="preserve">M#</t>
  </si>
  <si>
    <r>
      <rPr>
        <i val="true"/>
        <sz val="9"/>
        <color rgb="FF56423E"/>
        <rFont val="Arial"/>
        <family val="0"/>
        <charset val="1"/>
      </rPr>
      <t xml:space="preserve">Source: </t>
    </r>
    <r>
      <rPr>
        <i val="true"/>
        <sz val="9"/>
        <color rgb="FF56423E"/>
        <rFont val="PingFang SC"/>
        <family val="2"/>
      </rPr>
      <t xml:space="preserve">정식 오픈 </t>
    </r>
    <r>
      <rPr>
        <i val="true"/>
        <sz val="9"/>
        <color rgb="FF56423E"/>
        <rFont val="Arial"/>
        <family val="0"/>
        <charset val="1"/>
      </rPr>
      <t xml:space="preserve">+3</t>
    </r>
    <r>
      <rPr>
        <i val="true"/>
        <sz val="9"/>
        <color rgb="FF56423E"/>
        <rFont val="PingFang SC"/>
        <family val="2"/>
      </rPr>
      <t xml:space="preserve">개월 시점 가정 </t>
    </r>
    <r>
      <rPr>
        <i val="true"/>
        <sz val="9"/>
        <color rgb="FF56423E"/>
        <rFont val="Arial"/>
        <family val="0"/>
        <charset val="1"/>
      </rPr>
      <t xml:space="preserve">(M3 = 2026.10). </t>
    </r>
    <r>
      <rPr>
        <i val="true"/>
        <sz val="9"/>
        <color rgb="FF56423E"/>
        <rFont val="PingFang SC"/>
        <family val="2"/>
      </rPr>
      <t xml:space="preserve">옛 </t>
    </r>
    <r>
      <rPr>
        <i val="true"/>
        <sz val="9"/>
        <color rgb="FF56423E"/>
        <rFont val="Arial"/>
        <family val="0"/>
        <charset val="1"/>
      </rPr>
      <t xml:space="preserve">v1: </t>
    </r>
    <r>
      <rPr>
        <i val="true"/>
        <sz val="9"/>
        <color rgb="FF56423E"/>
        <rFont val="PingFang SC"/>
        <family val="2"/>
      </rPr>
      <t xml:space="preserve">베타 </t>
    </r>
    <r>
      <rPr>
        <i val="true"/>
        <sz val="9"/>
        <color rgb="FF56423E"/>
        <rFont val="Arial"/>
        <family val="0"/>
        <charset val="1"/>
      </rPr>
      <t xml:space="preserve">D-3</t>
    </r>
    <r>
      <rPr>
        <i val="true"/>
        <sz val="9"/>
        <color rgb="FF56423E"/>
        <rFont val="PingFang SC"/>
        <family val="2"/>
      </rPr>
      <t xml:space="preserve">개월</t>
    </r>
    <r>
      <rPr>
        <i val="true"/>
        <sz val="9"/>
        <color rgb="FF56423E"/>
        <rFont val="Arial"/>
        <family val="0"/>
        <charset val="1"/>
      </rPr>
      <t xml:space="preserve">. Source: </t>
    </r>
    <r>
      <rPr>
        <i val="true"/>
        <sz val="9"/>
        <color rgb="FF56423E"/>
        <rFont val="PingFang SC"/>
        <family val="2"/>
      </rPr>
      <t xml:space="preserve">베타 </t>
    </r>
    <r>
      <rPr>
        <i val="true"/>
        <sz val="9"/>
        <color rgb="FF56423E"/>
        <rFont val="Arial"/>
        <family val="0"/>
        <charset val="1"/>
      </rPr>
      <t xml:space="preserve">D-3</t>
    </r>
    <r>
      <rPr>
        <i val="true"/>
        <sz val="9"/>
        <color rgb="FF56423E"/>
        <rFont val="PingFang SC"/>
        <family val="2"/>
      </rPr>
      <t xml:space="preserve">개월 시점 가정</t>
    </r>
  </si>
  <si>
    <t xml:space="preserve">═══ 7. Government Support Schedule ═══</t>
  </si>
  <si>
    <r>
      <rPr>
        <sz val="10"/>
        <color rgb="FF000000"/>
        <rFont val="Arial"/>
        <family val="0"/>
        <charset val="1"/>
      </rPr>
      <t xml:space="preserve">KIDP — Korea Institute of Design Promotion · </t>
    </r>
    <r>
      <rPr>
        <sz val="10"/>
        <color rgb="FF000000"/>
        <rFont val="PingFang SC"/>
        <family val="2"/>
      </rPr>
      <t xml:space="preserve">한국디자인진흥원 디자인 바우처 </t>
    </r>
    <r>
      <rPr>
        <sz val="10"/>
        <color rgb="FF000000"/>
        <rFont val="Arial"/>
        <family val="0"/>
        <charset val="1"/>
      </rPr>
      <t xml:space="preserve">(M3)</t>
    </r>
  </si>
  <si>
    <r>
      <rPr>
        <i val="true"/>
        <sz val="9"/>
        <color rgb="FF56423E"/>
        <rFont val="Arial"/>
        <family val="0"/>
        <charset val="1"/>
      </rPr>
      <t xml:space="preserve">Source: ₩5,000</t>
    </r>
    <r>
      <rPr>
        <i val="true"/>
        <sz val="9"/>
        <color rgb="FF56423E"/>
        <rFont val="PingFang SC"/>
        <family val="2"/>
      </rPr>
      <t xml:space="preserve">만 한도 </t>
    </r>
    <r>
      <rPr>
        <i val="true"/>
        <sz val="9"/>
        <color rgb="FF56423E"/>
        <rFont val="Arial"/>
        <family val="0"/>
        <charset val="1"/>
      </rPr>
      <t xml:space="preserve">× 60% </t>
    </r>
    <r>
      <rPr>
        <i val="true"/>
        <sz val="9"/>
        <color rgb="FF56423E"/>
        <rFont val="PingFang SC"/>
        <family val="2"/>
      </rPr>
      <t xml:space="preserve">보조</t>
    </r>
  </si>
  <si>
    <t xml:space="preserve">청년일자리도약장려금 /년 (M6+, 고용노동부)</t>
  </si>
  <si>
    <t xml:space="preserve">KRW/FTE/yr</t>
  </si>
  <si>
    <r>
      <rPr>
        <i val="true"/>
        <sz val="9"/>
        <color rgb="FF56423E"/>
        <rFont val="Arial"/>
        <family val="0"/>
        <charset val="1"/>
      </rPr>
      <t xml:space="preserve">Source: 1</t>
    </r>
    <r>
      <rPr>
        <i val="true"/>
        <sz val="9"/>
        <color rgb="FF56423E"/>
        <rFont val="PingFang SC"/>
        <family val="2"/>
      </rPr>
      <t xml:space="preserve">인당 ₩</t>
    </r>
    <r>
      <rPr>
        <i val="true"/>
        <sz val="9"/>
        <color rgb="FF56423E"/>
        <rFont val="Arial"/>
        <family val="0"/>
        <charset val="1"/>
      </rPr>
      <t xml:space="preserve">720</t>
    </r>
    <r>
      <rPr>
        <i val="true"/>
        <sz val="9"/>
        <color rgb="FF56423E"/>
        <rFont val="PingFang SC"/>
        <family val="2"/>
      </rPr>
      <t xml:space="preserve">만</t>
    </r>
  </si>
  <si>
    <r>
      <rPr>
        <sz val="10"/>
        <color rgb="FF000000"/>
        <rFont val="Arial"/>
        <family val="0"/>
        <charset val="1"/>
      </rPr>
      <t xml:space="preserve">SBA — Seoul Business Agency · </t>
    </r>
    <r>
      <rPr>
        <sz val="10"/>
        <color rgb="FF000000"/>
        <rFont val="PingFang SC"/>
        <family val="2"/>
      </rPr>
      <t xml:space="preserve">서울경제진흥원 청년창업 </t>
    </r>
    <r>
      <rPr>
        <sz val="10"/>
        <color rgb="FF000000"/>
        <rFont val="Arial"/>
        <family val="0"/>
        <charset val="1"/>
      </rPr>
      <t xml:space="preserve">(M9)</t>
    </r>
  </si>
  <si>
    <r>
      <rPr>
        <i val="true"/>
        <sz val="9"/>
        <color rgb="FF56423E"/>
        <rFont val="Arial"/>
        <family val="0"/>
        <charset val="1"/>
      </rPr>
      <t xml:space="preserve">Source: </t>
    </r>
    <r>
      <rPr>
        <i val="true"/>
        <sz val="9"/>
        <color rgb="FF56423E"/>
        <rFont val="PingFang SC"/>
        <family val="2"/>
      </rPr>
      <t xml:space="preserve">서울 청년창업</t>
    </r>
  </si>
  <si>
    <r>
      <rPr>
        <sz val="10"/>
        <color rgb="FF000000"/>
        <rFont val="Arial"/>
        <family val="0"/>
        <charset val="1"/>
      </rPr>
      <t xml:space="preserve">TIPS — Tech Incubator Program for Startup · </t>
    </r>
    <r>
      <rPr>
        <sz val="10"/>
        <color rgb="FF000000"/>
        <rFont val="PingFang SC"/>
        <family val="2"/>
      </rPr>
      <t xml:space="preserve">민간투자주도형 기술창업지원 </t>
    </r>
    <r>
      <rPr>
        <sz val="10"/>
        <color rgb="FF000000"/>
        <rFont val="Arial"/>
        <family val="0"/>
        <charset val="1"/>
      </rPr>
      <t xml:space="preserve">(M12, </t>
    </r>
    <r>
      <rPr>
        <sz val="10"/>
        <color rgb="FF000000"/>
        <rFont val="PingFang SC"/>
        <family val="2"/>
      </rPr>
      <t xml:space="preserve">운영사 추천 </t>
    </r>
    <r>
      <rPr>
        <sz val="10"/>
        <color rgb="FF000000"/>
        <rFont val="Arial"/>
        <family val="0"/>
        <charset val="1"/>
      </rPr>
      <t xml:space="preserve">+ Pre-A VC </t>
    </r>
    <r>
      <rPr>
        <sz val="10"/>
        <color rgb="FF000000"/>
        <rFont val="PingFang SC"/>
        <family val="2"/>
      </rPr>
      <t xml:space="preserve">매칭 필요</t>
    </r>
    <r>
      <rPr>
        <sz val="10"/>
        <color rgb="FF000000"/>
        <rFont val="Arial"/>
        <family val="0"/>
        <charset val="1"/>
      </rPr>
      <t xml:space="preserve">)</t>
    </r>
  </si>
  <si>
    <r>
      <rPr>
        <i val="true"/>
        <sz val="9"/>
        <color rgb="FF56423E"/>
        <rFont val="Arial"/>
        <family val="0"/>
        <charset val="1"/>
      </rPr>
      <t xml:space="preserve">Source: TIPS ₩8</t>
    </r>
    <r>
      <rPr>
        <i val="true"/>
        <sz val="9"/>
        <color rgb="FF56423E"/>
        <rFont val="PingFang SC"/>
        <family val="2"/>
      </rPr>
      <t xml:space="preserve">억 </t>
    </r>
    <r>
      <rPr>
        <i val="true"/>
        <sz val="9"/>
        <color rgb="FF56423E"/>
        <rFont val="Arial"/>
        <family val="0"/>
        <charset val="1"/>
      </rPr>
      <t xml:space="preserve">(2026 </t>
    </r>
    <r>
      <rPr>
        <i val="true"/>
        <sz val="9"/>
        <color rgb="FF56423E"/>
        <rFont val="PingFang SC"/>
        <family val="2"/>
      </rPr>
      <t xml:space="preserve">상향</t>
    </r>
    <r>
      <rPr>
        <i val="true"/>
        <sz val="9"/>
        <color rgb="FF56423E"/>
        <rFont val="Arial"/>
        <family val="0"/>
        <charset val="1"/>
      </rPr>
      <t xml:space="preserve">, </t>
    </r>
    <r>
      <rPr>
        <i val="true"/>
        <sz val="9"/>
        <color rgb="FF56423E"/>
        <rFont val="PingFang SC"/>
        <family val="2"/>
      </rPr>
      <t xml:space="preserve">수도권</t>
    </r>
    <r>
      <rPr>
        <i val="true"/>
        <sz val="9"/>
        <color rgb="FF56423E"/>
        <rFont val="Arial"/>
        <family val="0"/>
        <charset val="1"/>
      </rPr>
      <t xml:space="preserve">). Pre-A VC </t>
    </r>
    <r>
      <rPr>
        <i val="true"/>
        <sz val="9"/>
        <color rgb="FF56423E"/>
        <rFont val="PingFang SC"/>
        <family val="2"/>
      </rPr>
      <t xml:space="preserve">매칭 </t>
    </r>
    <r>
      <rPr>
        <i val="true"/>
        <sz val="9"/>
        <color rgb="FF56423E"/>
        <rFont val="Arial"/>
        <family val="0"/>
        <charset val="1"/>
      </rPr>
      <t xml:space="preserve">+ </t>
    </r>
    <r>
      <rPr>
        <i val="true"/>
        <sz val="9"/>
        <color rgb="FF56423E"/>
        <rFont val="PingFang SC"/>
        <family val="2"/>
      </rPr>
      <t xml:space="preserve">운영사 추천 필수</t>
    </r>
    <r>
      <rPr>
        <i val="true"/>
        <sz val="9"/>
        <color rgb="FF56423E"/>
        <rFont val="Arial"/>
        <family val="0"/>
        <charset val="1"/>
      </rPr>
      <t xml:space="preserve">.</t>
    </r>
  </si>
  <si>
    <t xml:space="preserve">예비창업패키지 (M15)</t>
  </si>
  <si>
    <r>
      <rPr>
        <i val="true"/>
        <sz val="9"/>
        <color rgb="FF56423E"/>
        <rFont val="Arial"/>
        <family val="0"/>
        <charset val="1"/>
      </rPr>
      <t xml:space="preserve">Source: ₩1</t>
    </r>
    <r>
      <rPr>
        <i val="true"/>
        <sz val="9"/>
        <color rgb="FF56423E"/>
        <rFont val="PingFang SC"/>
        <family val="2"/>
      </rPr>
      <t xml:space="preserve">억 </t>
    </r>
    <r>
      <rPr>
        <i val="true"/>
        <sz val="9"/>
        <color rgb="FF56423E"/>
        <rFont val="Arial"/>
        <family val="0"/>
        <charset val="1"/>
      </rPr>
      <t xml:space="preserve">× 70%</t>
    </r>
  </si>
  <si>
    <t xml:space="preserve">초기창업패키지 (M18)</t>
  </si>
  <si>
    <r>
      <rPr>
        <i val="true"/>
        <sz val="9"/>
        <color rgb="FF56423E"/>
        <rFont val="Arial"/>
        <family val="0"/>
        <charset val="1"/>
      </rPr>
      <t xml:space="preserve">Source: ₩1</t>
    </r>
    <r>
      <rPr>
        <i val="true"/>
        <sz val="9"/>
        <color rgb="FF56423E"/>
        <rFont val="PingFang SC"/>
        <family val="2"/>
      </rPr>
      <t xml:space="preserve">억</t>
    </r>
  </si>
  <si>
    <t xml:space="preserve">수출바우처 (M24)</t>
  </si>
  <si>
    <r>
      <rPr>
        <i val="true"/>
        <sz val="9"/>
        <color rgb="FF56423E"/>
        <rFont val="Arial"/>
        <family val="0"/>
        <charset val="1"/>
      </rPr>
      <t xml:space="preserve">Source: ₩3,000~1</t>
    </r>
    <r>
      <rPr>
        <i val="true"/>
        <sz val="9"/>
        <color rgb="FF56423E"/>
        <rFont val="PingFang SC"/>
        <family val="2"/>
      </rPr>
      <t xml:space="preserve">억</t>
    </r>
  </si>
  <si>
    <r>
      <rPr>
        <sz val="10"/>
        <color rgb="FF000000"/>
        <rFont val="Arial"/>
        <family val="0"/>
        <charset val="1"/>
      </rPr>
      <t xml:space="preserve">TIPS </t>
    </r>
    <r>
      <rPr>
        <sz val="10"/>
        <color rgb="FF000000"/>
        <rFont val="PingFang SC"/>
        <family val="2"/>
      </rPr>
      <t xml:space="preserve">통과 가정 </t>
    </r>
    <r>
      <rPr>
        <sz val="10"/>
        <color rgb="FF000000"/>
        <rFont val="Arial"/>
        <family val="0"/>
        <charset val="1"/>
      </rPr>
      <t xml:space="preserve">(1=</t>
    </r>
    <r>
      <rPr>
        <sz val="10"/>
        <color rgb="FF000000"/>
        <rFont val="PingFang SC"/>
        <family val="2"/>
      </rPr>
      <t xml:space="preserve">통과</t>
    </r>
    <r>
      <rPr>
        <sz val="10"/>
        <color rgb="FF000000"/>
        <rFont val="Arial"/>
        <family val="0"/>
        <charset val="1"/>
      </rPr>
      <t xml:space="preserve">, 0=</t>
    </r>
    <r>
      <rPr>
        <sz val="10"/>
        <color rgb="FF000000"/>
        <rFont val="PingFang SC"/>
        <family val="2"/>
      </rPr>
      <t xml:space="preserve">미통과</t>
    </r>
    <r>
      <rPr>
        <sz val="10"/>
        <color rgb="FF000000"/>
        <rFont val="Arial"/>
        <family val="0"/>
        <charset val="1"/>
      </rPr>
      <t xml:space="preserve">) — </t>
    </r>
    <r>
      <rPr>
        <sz val="10"/>
        <color rgb="FF000000"/>
        <rFont val="PingFang SC"/>
        <family val="2"/>
      </rPr>
      <t xml:space="preserve">미통과 시 시나리오 전환</t>
    </r>
  </si>
  <si>
    <t xml:space="preserve">toggle</t>
  </si>
  <si>
    <r>
      <rPr>
        <i val="true"/>
        <sz val="9"/>
        <color rgb="FF56423E"/>
        <rFont val="Arial"/>
        <family val="0"/>
        <charset val="1"/>
      </rPr>
      <t xml:space="preserve">Source: TIPS = </t>
    </r>
    <r>
      <rPr>
        <i val="true"/>
        <sz val="9"/>
        <color rgb="FF56423E"/>
        <rFont val="PingFang SC"/>
        <family val="2"/>
      </rPr>
      <t xml:space="preserve">운영사 추천 </t>
    </r>
    <r>
      <rPr>
        <i val="true"/>
        <sz val="9"/>
        <color rgb="FF56423E"/>
        <rFont val="Arial"/>
        <family val="0"/>
        <charset val="1"/>
      </rPr>
      <t xml:space="preserve">+ Pre-A VC </t>
    </r>
    <r>
      <rPr>
        <i val="true"/>
        <sz val="9"/>
        <color rgb="FF56423E"/>
        <rFont val="PingFang SC"/>
        <family val="2"/>
      </rPr>
      <t xml:space="preserve">매칭 </t>
    </r>
    <r>
      <rPr>
        <i val="true"/>
        <sz val="9"/>
        <color rgb="FF56423E"/>
        <rFont val="Arial"/>
        <family val="0"/>
        <charset val="1"/>
      </rPr>
      <t xml:space="preserve">(</t>
    </r>
    <r>
      <rPr>
        <i val="true"/>
        <sz val="9"/>
        <color rgb="FF56423E"/>
        <rFont val="PingFang SC"/>
        <family val="2"/>
      </rPr>
      <t xml:space="preserve">수도권 ₩</t>
    </r>
    <r>
      <rPr>
        <i val="true"/>
        <sz val="9"/>
        <color rgb="FF56423E"/>
        <rFont val="Arial"/>
        <family val="0"/>
        <charset val="1"/>
      </rPr>
      <t xml:space="preserve">2</t>
    </r>
    <r>
      <rPr>
        <i val="true"/>
        <sz val="9"/>
        <color rgb="FF56423E"/>
        <rFont val="PingFang SC"/>
        <family val="2"/>
      </rPr>
      <t xml:space="preserve">억</t>
    </r>
    <r>
      <rPr>
        <i val="true"/>
        <sz val="9"/>
        <color rgb="FF56423E"/>
        <rFont val="Arial"/>
        <family val="0"/>
        <charset val="1"/>
      </rPr>
      <t xml:space="preserve">) </t>
    </r>
    <r>
      <rPr>
        <i val="true"/>
        <sz val="9"/>
        <color rgb="FF56423E"/>
        <rFont val="PingFang SC"/>
        <family val="2"/>
      </rPr>
      <t xml:space="preserve">필요</t>
    </r>
    <r>
      <rPr>
        <i val="true"/>
        <sz val="9"/>
        <color rgb="FF56423E"/>
        <rFont val="Arial"/>
        <family val="0"/>
        <charset val="1"/>
      </rPr>
      <t xml:space="preserve">. </t>
    </r>
    <r>
      <rPr>
        <i val="true"/>
        <sz val="9"/>
        <color rgb="FF56423E"/>
        <rFont val="PingFang SC"/>
        <family val="2"/>
      </rPr>
      <t xml:space="preserve">미통과 시 </t>
    </r>
    <r>
      <rPr>
        <i val="true"/>
        <sz val="9"/>
        <color rgb="FF56423E"/>
        <rFont val="Arial"/>
        <family val="0"/>
        <charset val="1"/>
      </rPr>
      <t xml:space="preserve">0</t>
    </r>
    <r>
      <rPr>
        <i val="true"/>
        <sz val="9"/>
        <color rgb="FF56423E"/>
        <rFont val="PingFang SC"/>
        <family val="2"/>
      </rPr>
      <t xml:space="preserve">으로 변경하면 시나리오 전환</t>
    </r>
  </si>
  <si>
    <r>
      <rPr>
        <b val="true"/>
        <sz val="11"/>
        <rFont val="Arial"/>
        <family val="0"/>
        <charset val="1"/>
      </rPr>
      <t xml:space="preserve">═══ 8. Logistics &amp; Storage (#110 CJ </t>
    </r>
    <r>
      <rPr>
        <b val="true"/>
        <sz val="11"/>
        <rFont val="PingFang SC"/>
        <family val="2"/>
      </rPr>
      <t xml:space="preserve">단가 — </t>
    </r>
    <r>
      <rPr>
        <b val="true"/>
        <sz val="11"/>
        <rFont val="Arial"/>
        <family val="0"/>
        <charset val="1"/>
      </rPr>
      <t xml:space="preserve">supersede </t>
    </r>
    <r>
      <rPr>
        <b val="true"/>
        <sz val="11"/>
        <rFont val="PingFang SC"/>
        <family val="2"/>
      </rPr>
      <t xml:space="preserve">후 신규 협상 대기</t>
    </r>
    <r>
      <rPr>
        <b val="true"/>
        <sz val="11"/>
        <rFont val="Arial"/>
        <family val="0"/>
        <charset val="1"/>
      </rPr>
      <t xml:space="preserve">) ═══</t>
    </r>
  </si>
  <si>
    <t xml:space="preserve">Storage Rate per Pallet per Day (KRW)</t>
  </si>
  <si>
    <t xml:space="preserve">KRW/pallet/day</t>
  </si>
  <si>
    <r>
      <rPr>
        <sz val="11"/>
        <color theme="1"/>
        <rFont val="Calibri"/>
        <family val="2"/>
        <charset val="1"/>
      </rPr>
      <t xml:space="preserve">Source: </t>
    </r>
    <r>
      <rPr>
        <sz val="11"/>
        <color theme="1"/>
        <rFont val="PingFang SC"/>
        <family val="2"/>
      </rPr>
      <t xml:space="preserve">옛 </t>
    </r>
    <r>
      <rPr>
        <sz val="11"/>
        <color theme="1"/>
        <rFont val="Calibri"/>
        <family val="2"/>
        <charset val="1"/>
      </rPr>
      <t xml:space="preserve">CJ </t>
    </r>
    <r>
      <rPr>
        <sz val="11"/>
        <color theme="1"/>
        <rFont val="PingFang SC"/>
        <family val="2"/>
      </rPr>
      <t xml:space="preserve">미팅 견적 </t>
    </r>
    <r>
      <rPr>
        <sz val="11"/>
        <color theme="1"/>
        <rFont val="Calibri"/>
        <family val="2"/>
        <charset val="1"/>
      </rPr>
      <t xml:space="preserve">(#110, PR #40 </t>
    </r>
    <r>
      <rPr>
        <sz val="11"/>
        <color theme="1"/>
        <rFont val="PingFang SC"/>
        <family val="2"/>
      </rPr>
      <t xml:space="preserve">후 </t>
    </r>
    <r>
      <rPr>
        <sz val="11"/>
        <color theme="1"/>
        <rFont val="Calibri"/>
        <family val="2"/>
        <charset val="1"/>
      </rPr>
      <t xml:space="preserve">supersede). </t>
    </r>
    <r>
      <rPr>
        <sz val="11"/>
        <color theme="1"/>
        <rFont val="PingFang SC"/>
        <family val="2"/>
      </rPr>
      <t xml:space="preserve">신규 파트너 </t>
    </r>
    <r>
      <rPr>
        <sz val="11"/>
        <color theme="1"/>
        <rFont val="Calibri"/>
        <family val="2"/>
        <charset val="1"/>
      </rPr>
      <t xml:space="preserve">(Aramex/DHL/</t>
    </r>
    <r>
      <rPr>
        <sz val="11"/>
        <color theme="1"/>
        <rFont val="PingFang SC"/>
        <family val="2"/>
      </rPr>
      <t xml:space="preserve">한진</t>
    </r>
    <r>
      <rPr>
        <sz val="11"/>
        <color theme="1"/>
        <rFont val="Calibri"/>
        <family val="2"/>
        <charset val="1"/>
      </rPr>
      <t xml:space="preserve">) </t>
    </r>
    <r>
      <rPr>
        <sz val="11"/>
        <color theme="1"/>
        <rFont val="PingFang SC"/>
        <family val="2"/>
      </rPr>
      <t xml:space="preserve">견적 후 갱신</t>
    </r>
    <r>
      <rPr>
        <sz val="11"/>
        <color theme="1"/>
        <rFont val="Calibri"/>
        <family val="2"/>
        <charset val="1"/>
      </rPr>
      <t xml:space="preserve">.</t>
    </r>
  </si>
  <si>
    <t xml:space="preserve">Storage Rate per Rack per Day (KRW)</t>
  </si>
  <si>
    <t xml:space="preserve">KRW/rack/day</t>
  </si>
  <si>
    <r>
      <rPr>
        <sz val="11"/>
        <color theme="1"/>
        <rFont val="Calibri"/>
        <family val="2"/>
        <charset val="1"/>
      </rPr>
      <t xml:space="preserve">Source: </t>
    </r>
    <r>
      <rPr>
        <sz val="11"/>
        <color theme="1"/>
        <rFont val="PingFang SC"/>
        <family val="2"/>
      </rPr>
      <t xml:space="preserve">동일 </t>
    </r>
    <r>
      <rPr>
        <sz val="11"/>
        <color theme="1"/>
        <rFont val="Calibri"/>
        <family val="2"/>
        <charset val="1"/>
      </rPr>
      <t xml:space="preserve">(</t>
    </r>
    <r>
      <rPr>
        <sz val="11"/>
        <color theme="1"/>
        <rFont val="PingFang SC"/>
        <family val="2"/>
      </rPr>
      <t xml:space="preserve">옛 </t>
    </r>
    <r>
      <rPr>
        <sz val="11"/>
        <color theme="1"/>
        <rFont val="Calibri"/>
        <family val="2"/>
        <charset val="1"/>
      </rPr>
      <t xml:space="preserve">CJ </t>
    </r>
    <r>
      <rPr>
        <sz val="11"/>
        <color theme="1"/>
        <rFont val="PingFang SC"/>
        <family val="2"/>
      </rPr>
      <t xml:space="preserve">견적</t>
    </r>
    <r>
      <rPr>
        <sz val="11"/>
        <color theme="1"/>
        <rFont val="Calibri"/>
        <family val="2"/>
        <charset val="1"/>
      </rPr>
      <t xml:space="preserve">, </t>
    </r>
    <r>
      <rPr>
        <sz val="11"/>
        <color theme="1"/>
        <rFont val="PingFang SC"/>
        <family val="2"/>
      </rPr>
      <t xml:space="preserve">신규 파트너 협상 대기</t>
    </r>
    <r>
      <rPr>
        <sz val="11"/>
        <color theme="1"/>
        <rFont val="Calibri"/>
        <family val="2"/>
        <charset val="1"/>
      </rPr>
      <t xml:space="preserve">).</t>
    </r>
  </si>
  <si>
    <t xml:space="preserve">Avg Pallets per Seller (assumption)</t>
  </si>
  <si>
    <t xml:space="preserve">pallets</t>
  </si>
  <si>
    <r>
      <rPr>
        <sz val="11"/>
        <color theme="1"/>
        <rFont val="Calibri"/>
        <family val="2"/>
        <charset val="1"/>
      </rPr>
      <t xml:space="preserve">Source: </t>
    </r>
    <r>
      <rPr>
        <sz val="11"/>
        <color theme="1"/>
        <rFont val="PingFang SC"/>
        <family val="2"/>
      </rPr>
      <t xml:space="preserve">초기 가정 </t>
    </r>
    <r>
      <rPr>
        <sz val="11"/>
        <color theme="1"/>
        <rFont val="Calibri"/>
        <family val="2"/>
        <charset val="1"/>
      </rPr>
      <t xml:space="preserve">(1 pallet/seller) — </t>
    </r>
    <r>
      <rPr>
        <sz val="11"/>
        <color theme="1"/>
        <rFont val="PingFang SC"/>
        <family val="2"/>
      </rPr>
      <t xml:space="preserve">인프라 투어 후 재검증</t>
    </r>
  </si>
  <si>
    <t xml:space="preserve">Active Sellers Count — Y1 avg</t>
  </si>
  <si>
    <t xml:space="preserve">sellers</t>
  </si>
  <si>
    <r>
      <rPr>
        <sz val="11"/>
        <color theme="1"/>
        <rFont val="Calibri"/>
        <family val="2"/>
        <charset val="1"/>
      </rPr>
      <t xml:space="preserve">Source: Anchor LOI </t>
    </r>
    <r>
      <rPr>
        <sz val="11"/>
        <color theme="1"/>
        <rFont val="PingFang SC"/>
        <family val="2"/>
      </rPr>
      <t xml:space="preserve">목표 </t>
    </r>
    <r>
      <rPr>
        <sz val="11"/>
        <color theme="1"/>
        <rFont val="Calibri"/>
        <family val="2"/>
        <charset val="1"/>
      </rPr>
      <t xml:space="preserve">+ </t>
    </r>
    <r>
      <rPr>
        <sz val="11"/>
        <color theme="1"/>
        <rFont val="PingFang SC"/>
        <family val="2"/>
      </rPr>
      <t xml:space="preserve">초기 모집 가정</t>
    </r>
  </si>
  <si>
    <t xml:space="preserve">Active Sellers Count — Y2 avg</t>
  </si>
  <si>
    <r>
      <rPr>
        <sz val="11"/>
        <color theme="1"/>
        <rFont val="Calibri"/>
        <family val="2"/>
        <charset val="1"/>
      </rPr>
      <t xml:space="preserve">Source: </t>
    </r>
    <r>
      <rPr>
        <sz val="11"/>
        <color theme="1"/>
        <rFont val="PingFang SC"/>
        <family val="2"/>
      </rPr>
      <t xml:space="preserve">성장 가정</t>
    </r>
  </si>
  <si>
    <t xml:space="preserve">Active Sellers Count — Y3 avg</t>
  </si>
  <si>
    <t xml:space="preserve">Monthly Storage Cost — Y1 (KRW, calc)</t>
  </si>
  <si>
    <t xml:space="preserve">Calc: Pallet rate × 30 days × pallets/seller × sellers</t>
  </si>
  <si>
    <t xml:space="preserve">Monthly Storage Cost — Y2 (KRW, calc)</t>
  </si>
  <si>
    <t xml:space="preserve">Monthly Storage Cost — Y3 (KRW, calc)</t>
  </si>
  <si>
    <r>
      <rPr>
        <b val="true"/>
        <sz val="11"/>
        <color rgb="FF9F402D"/>
        <rFont val="Arial"/>
        <family val="0"/>
        <charset val="1"/>
      </rPr>
      <t xml:space="preserve">═══ 9. Government Support — Expanded Schedule (v1.7 </t>
    </r>
    <r>
      <rPr>
        <b val="true"/>
        <sz val="11"/>
        <color rgb="FF9F402D"/>
        <rFont val="PingFang SC"/>
        <family val="2"/>
      </rPr>
      <t xml:space="preserve">신규</t>
    </r>
    <r>
      <rPr>
        <b val="true"/>
        <sz val="11"/>
        <color rgb="FF9F402D"/>
        <rFont val="Arial"/>
        <family val="0"/>
        <charset val="1"/>
      </rPr>
      <t xml:space="preserve">, GOV_FUNDING_STRATEGY </t>
    </r>
    <r>
      <rPr>
        <b val="true"/>
        <sz val="11"/>
        <color rgb="FF9F402D"/>
        <rFont val="PingFang SC"/>
        <family val="2"/>
      </rPr>
      <t xml:space="preserve">정합</t>
    </r>
    <r>
      <rPr>
        <b val="true"/>
        <sz val="11"/>
        <color rgb="FF9F402D"/>
        <rFont val="Arial"/>
        <family val="0"/>
        <charset val="1"/>
      </rPr>
      <t xml:space="preserve">) ═══</t>
    </r>
  </si>
  <si>
    <t xml:space="preserve">프로그램</t>
  </si>
  <si>
    <r>
      <rPr>
        <b val="true"/>
        <sz val="10"/>
        <color rgb="FFFFFFFF"/>
        <rFont val="PingFang SC"/>
        <family val="2"/>
      </rPr>
      <t xml:space="preserve">금액 </t>
    </r>
    <r>
      <rPr>
        <b val="true"/>
        <sz val="10"/>
        <color rgb="FFFFFFFF"/>
        <rFont val="Arial"/>
        <family val="0"/>
        <charset val="1"/>
      </rPr>
      <t xml:space="preserve">(KRW)</t>
    </r>
  </si>
  <si>
    <r>
      <rPr>
        <b val="true"/>
        <sz val="10"/>
        <color rgb="FFFFFFFF"/>
        <rFont val="PingFang SC"/>
        <family val="2"/>
      </rPr>
      <t xml:space="preserve">신청 월 </t>
    </r>
    <r>
      <rPr>
        <b val="true"/>
        <sz val="10"/>
        <color rgb="FFFFFFFF"/>
        <rFont val="Arial"/>
        <family val="0"/>
        <charset val="1"/>
      </rPr>
      <t xml:space="preserve">(M#)</t>
    </r>
  </si>
  <si>
    <r>
      <rPr>
        <b val="true"/>
        <sz val="10"/>
        <color rgb="FFFFFFFF"/>
        <rFont val="PingFang SC"/>
        <family val="2"/>
      </rPr>
      <t xml:space="preserve">비고</t>
    </r>
    <r>
      <rPr>
        <b val="true"/>
        <sz val="10"/>
        <color rgb="FFFFFFFF"/>
        <rFont val="Arial"/>
        <family val="0"/>
        <charset val="1"/>
      </rPr>
      <t xml:space="preserve">·</t>
    </r>
    <r>
      <rPr>
        <b val="true"/>
        <sz val="10"/>
        <color rgb="FFFFFFFF"/>
        <rFont val="PingFang SC"/>
        <family val="2"/>
      </rPr>
      <t xml:space="preserve">조건</t>
    </r>
  </si>
  <si>
    <t xml:space="preserve">Phase</t>
  </si>
  <si>
    <r>
      <rPr>
        <sz val="10"/>
        <rFont val="PingFang SC"/>
        <family val="2"/>
      </rPr>
      <t xml:space="preserve">예비창업패키지 </t>
    </r>
    <r>
      <rPr>
        <sz val="10"/>
        <rFont val="Arial"/>
        <family val="0"/>
        <charset val="1"/>
      </rPr>
      <t xml:space="preserve">(</t>
    </r>
    <r>
      <rPr>
        <sz val="10"/>
        <rFont val="PingFang SC"/>
        <family val="2"/>
      </rPr>
      <t xml:space="preserve">실 ₩</t>
    </r>
    <r>
      <rPr>
        <sz val="10"/>
        <rFont val="Arial"/>
        <family val="0"/>
        <charset val="1"/>
      </rPr>
      <t xml:space="preserve">7</t>
    </r>
    <r>
      <rPr>
        <sz val="10"/>
        <rFont val="PingFang SC"/>
        <family val="2"/>
      </rPr>
      <t xml:space="preserve">천만 사업화</t>
    </r>
    <r>
      <rPr>
        <sz val="10"/>
        <rFont val="Arial"/>
        <family val="0"/>
        <charset val="1"/>
      </rPr>
      <t xml:space="preserve">)</t>
    </r>
  </si>
  <si>
    <t xml:space="preserve">M1</t>
  </si>
  <si>
    <r>
      <rPr>
        <sz val="9"/>
        <color rgb="FF666666"/>
        <rFont val="Arial"/>
        <family val="0"/>
        <charset val="1"/>
      </rPr>
      <t xml:space="preserve">M1 </t>
    </r>
    <r>
      <rPr>
        <sz val="9"/>
        <color rgb="FF666666"/>
        <rFont val="PingFang SC"/>
        <family val="2"/>
      </rPr>
      <t xml:space="preserve">신청 가능 </t>
    </r>
    <r>
      <rPr>
        <sz val="9"/>
        <color rgb="FF666666"/>
        <rFont val="Arial"/>
        <family val="0"/>
        <charset val="1"/>
      </rPr>
      <t xml:space="preserve">(2026.05-06), </t>
    </r>
    <r>
      <rPr>
        <sz val="9"/>
        <color rgb="FF666666"/>
        <rFont val="PingFang SC"/>
        <family val="2"/>
      </rPr>
      <t xml:space="preserve">창업진흥원</t>
    </r>
    <r>
      <rPr>
        <sz val="9"/>
        <color rgb="FF666666"/>
        <rFont val="Arial"/>
        <family val="0"/>
        <charset val="1"/>
      </rPr>
      <t xml:space="preserve">·</t>
    </r>
    <r>
      <rPr>
        <sz val="9"/>
        <color rgb="FF666666"/>
        <rFont val="PingFang SC"/>
        <family val="2"/>
      </rPr>
      <t xml:space="preserve">중기부</t>
    </r>
  </si>
  <si>
    <t xml:space="preserve">Phase 0</t>
  </si>
  <si>
    <r>
      <rPr>
        <sz val="10"/>
        <rFont val="Arial"/>
        <family val="0"/>
        <charset val="1"/>
      </rPr>
      <t xml:space="preserve">K-Startup </t>
    </r>
    <r>
      <rPr>
        <sz val="10"/>
        <rFont val="PingFang SC"/>
        <family val="2"/>
      </rPr>
      <t xml:space="preserve">글로벌 진출 </t>
    </r>
    <r>
      <rPr>
        <sz val="10"/>
        <rFont val="Arial"/>
        <family val="0"/>
        <charset val="1"/>
      </rPr>
      <t xml:space="preserve">(UAE </t>
    </r>
    <r>
      <rPr>
        <sz val="10"/>
        <rFont val="PingFang SC"/>
        <family val="2"/>
      </rPr>
      <t xml:space="preserve">출장</t>
    </r>
    <r>
      <rPr>
        <sz val="10"/>
        <rFont val="Arial"/>
        <family val="0"/>
        <charset val="1"/>
      </rPr>
      <t xml:space="preserve">·</t>
    </r>
    <r>
      <rPr>
        <sz val="10"/>
        <rFont val="PingFang SC"/>
        <family val="2"/>
      </rPr>
      <t xml:space="preserve">전시</t>
    </r>
    <r>
      <rPr>
        <sz val="10"/>
        <rFont val="Arial"/>
        <family val="0"/>
        <charset val="1"/>
      </rPr>
      <t xml:space="preserve">·</t>
    </r>
    <r>
      <rPr>
        <sz val="10"/>
        <rFont val="PingFang SC"/>
        <family val="2"/>
      </rPr>
      <t xml:space="preserve">법인</t>
    </r>
    <r>
      <rPr>
        <sz val="10"/>
        <rFont val="Arial"/>
        <family val="0"/>
        <charset val="1"/>
      </rPr>
      <t xml:space="preserve">)</t>
    </r>
  </si>
  <si>
    <t xml:space="preserve">M2</t>
  </si>
  <si>
    <r>
      <rPr>
        <sz val="9"/>
        <color rgb="FF666666"/>
        <rFont val="Arial"/>
        <family val="0"/>
        <charset val="1"/>
      </rPr>
      <t xml:space="preserve">M2 </t>
    </r>
    <r>
      <rPr>
        <sz val="9"/>
        <color rgb="FF666666"/>
        <rFont val="PingFang SC"/>
        <family val="2"/>
      </rPr>
      <t xml:space="preserve">신청 </t>
    </r>
    <r>
      <rPr>
        <sz val="9"/>
        <color rgb="FF666666"/>
        <rFont val="Arial"/>
        <family val="0"/>
        <charset val="1"/>
      </rPr>
      <t xml:space="preserve">(2026.06), </t>
    </r>
    <r>
      <rPr>
        <sz val="9"/>
        <color rgb="FF666666"/>
        <rFont val="PingFang SC"/>
        <family val="2"/>
      </rPr>
      <t xml:space="preserve">창업진흥원</t>
    </r>
    <r>
      <rPr>
        <sz val="9"/>
        <color rgb="FF666666"/>
        <rFont val="Arial"/>
        <family val="0"/>
        <charset val="1"/>
      </rPr>
      <t xml:space="preserve">·UAE perfect fit</t>
    </r>
  </si>
  <si>
    <r>
      <rPr>
        <sz val="10"/>
        <rFont val="Arial"/>
        <family val="0"/>
        <charset val="1"/>
      </rPr>
      <t xml:space="preserve">KIDP </t>
    </r>
    <r>
      <rPr>
        <sz val="10"/>
        <rFont val="PingFang SC"/>
        <family val="2"/>
      </rPr>
      <t xml:space="preserve">디자인 바우처</t>
    </r>
  </si>
  <si>
    <t xml:space="preserve">M3</t>
  </si>
  <si>
    <r>
      <rPr>
        <sz val="9"/>
        <color rgb="FF666666"/>
        <rFont val="Arial"/>
        <family val="0"/>
        <charset val="1"/>
      </rPr>
      <t xml:space="preserve">60% </t>
    </r>
    <r>
      <rPr>
        <sz val="9"/>
        <color rgb="FF666666"/>
        <rFont val="PingFang SC"/>
        <family val="2"/>
      </rPr>
      <t xml:space="preserve">보조</t>
    </r>
    <r>
      <rPr>
        <sz val="9"/>
        <color rgb="FF666666"/>
        <rFont val="Arial"/>
        <family val="0"/>
        <charset val="1"/>
      </rPr>
      <t xml:space="preserve">, </t>
    </r>
    <r>
      <rPr>
        <sz val="9"/>
        <color rgb="FF666666"/>
        <rFont val="PingFang SC"/>
        <family val="2"/>
      </rPr>
      <t xml:space="preserve">한국디자인진흥원</t>
    </r>
    <r>
      <rPr>
        <sz val="9"/>
        <color rgb="FF666666"/>
        <rFont val="Arial"/>
        <family val="0"/>
        <charset val="1"/>
      </rPr>
      <t xml:space="preserve">·Luminous Terracotta·PB </t>
    </r>
    <r>
      <rPr>
        <sz val="9"/>
        <color rgb="FF666666"/>
        <rFont val="PingFang SC"/>
        <family val="2"/>
      </rPr>
      <t xml:space="preserve">파우치</t>
    </r>
  </si>
  <si>
    <r>
      <rPr>
        <sz val="10"/>
        <rFont val="PingFang SC"/>
        <family val="2"/>
      </rPr>
      <t xml:space="preserve">창업맞춤형사업 </t>
    </r>
    <r>
      <rPr>
        <sz val="10"/>
        <rFont val="Arial"/>
        <family val="0"/>
        <charset val="1"/>
      </rPr>
      <t xml:space="preserve">(TIPA R&amp;D)</t>
    </r>
  </si>
  <si>
    <r>
      <rPr>
        <sz val="9"/>
        <color rgb="FF666666"/>
        <rFont val="Arial"/>
        <family val="0"/>
        <charset val="1"/>
      </rPr>
      <t xml:space="preserve">TIPA·</t>
    </r>
    <r>
      <rPr>
        <sz val="9"/>
        <color rgb="FF666666"/>
        <rFont val="PingFang SC"/>
        <family val="2"/>
      </rPr>
      <t xml:space="preserve">중기부</t>
    </r>
    <r>
      <rPr>
        <sz val="9"/>
        <color rgb="FF666666"/>
        <rFont val="Arial"/>
        <family val="0"/>
        <charset val="1"/>
      </rPr>
      <t xml:space="preserve">, AI </t>
    </r>
    <r>
      <rPr>
        <sz val="9"/>
        <color rgb="FF666666"/>
        <rFont val="PingFang SC"/>
        <family val="2"/>
      </rPr>
      <t xml:space="preserve">큐레이션 </t>
    </r>
    <r>
      <rPr>
        <sz val="9"/>
        <color rgb="FF666666"/>
        <rFont val="Arial"/>
        <family val="0"/>
        <charset val="1"/>
      </rPr>
      <t xml:space="preserve">R&amp;D </t>
    </r>
    <r>
      <rPr>
        <sz val="9"/>
        <color rgb="FF666666"/>
        <rFont val="PingFang SC"/>
        <family val="2"/>
      </rPr>
      <t xml:space="preserve">명목</t>
    </r>
  </si>
  <si>
    <t xml:space="preserve">초기창업패키지</t>
  </si>
  <si>
    <t xml:space="preserve">M4</t>
  </si>
  <si>
    <r>
      <rPr>
        <sz val="9"/>
        <color rgb="FF666666"/>
        <rFont val="Arial"/>
        <family val="0"/>
        <charset val="1"/>
      </rPr>
      <t xml:space="preserve">M4 </t>
    </r>
    <r>
      <rPr>
        <sz val="9"/>
        <color rgb="FF666666"/>
        <rFont val="PingFang SC"/>
        <family val="2"/>
      </rPr>
      <t xml:space="preserve">신청 </t>
    </r>
    <r>
      <rPr>
        <sz val="9"/>
        <color rgb="FF666666"/>
        <rFont val="Arial"/>
        <family val="0"/>
        <charset val="1"/>
      </rPr>
      <t xml:space="preserve">(2026.11), </t>
    </r>
    <r>
      <rPr>
        <sz val="9"/>
        <color rgb="FF666666"/>
        <rFont val="PingFang SC"/>
        <family val="2"/>
      </rPr>
      <t xml:space="preserve">창업진흥원</t>
    </r>
  </si>
  <si>
    <t xml:space="preserve">Phase 1</t>
  </si>
  <si>
    <r>
      <rPr>
        <sz val="10"/>
        <rFont val="PingFang SC"/>
        <family val="2"/>
      </rPr>
      <t xml:space="preserve">청년창업사관학교 </t>
    </r>
    <r>
      <rPr>
        <sz val="10"/>
        <rFont val="Arial"/>
        <family val="0"/>
        <charset val="1"/>
      </rPr>
      <t xml:space="preserve">(+ </t>
    </r>
    <r>
      <rPr>
        <sz val="10"/>
        <rFont val="PingFang SC"/>
        <family val="2"/>
      </rPr>
      <t xml:space="preserve">사무실</t>
    </r>
    <r>
      <rPr>
        <sz val="10"/>
        <rFont val="Arial"/>
        <family val="0"/>
        <charset val="1"/>
      </rPr>
      <t xml:space="preserve">)</t>
    </r>
  </si>
  <si>
    <r>
      <rPr>
        <sz val="9"/>
        <color rgb="FF666666"/>
        <rFont val="Arial"/>
        <family val="0"/>
        <charset val="1"/>
      </rPr>
      <t xml:space="preserve">1</t>
    </r>
    <r>
      <rPr>
        <sz val="9"/>
        <color rgb="FF666666"/>
        <rFont val="PingFang SC"/>
        <family val="2"/>
      </rPr>
      <t xml:space="preserve">년 과정</t>
    </r>
    <r>
      <rPr>
        <sz val="9"/>
        <color rgb="FF666666"/>
        <rFont val="Arial"/>
        <family val="0"/>
        <charset val="1"/>
      </rPr>
      <t xml:space="preserve">, </t>
    </r>
    <r>
      <rPr>
        <sz val="9"/>
        <color rgb="FF666666"/>
        <rFont val="PingFang SC"/>
        <family val="2"/>
      </rPr>
      <t xml:space="preserve">중진공 </t>
    </r>
    <r>
      <rPr>
        <sz val="9"/>
        <color rgb="FF666666"/>
        <rFont val="Arial"/>
        <family val="0"/>
        <charset val="1"/>
      </rPr>
      <t xml:space="preserve">(</t>
    </r>
    <r>
      <rPr>
        <sz val="9"/>
        <color rgb="FF666666"/>
        <rFont val="PingFang SC"/>
        <family val="2"/>
      </rPr>
      <t xml:space="preserve">중소벤처기업진흥공단</t>
    </r>
    <r>
      <rPr>
        <sz val="9"/>
        <color rgb="FF666666"/>
        <rFont val="Arial"/>
        <family val="0"/>
        <charset val="1"/>
      </rPr>
      <t xml:space="preserve">)</t>
    </r>
  </si>
  <si>
    <r>
      <rPr>
        <sz val="10"/>
        <rFont val="Arial"/>
        <family val="0"/>
        <charset val="1"/>
      </rPr>
      <t xml:space="preserve">KOTRA GP </t>
    </r>
    <r>
      <rPr>
        <sz val="10"/>
        <rFont val="PingFang SC"/>
        <family val="2"/>
      </rPr>
      <t xml:space="preserve">사업 </t>
    </r>
    <r>
      <rPr>
        <sz val="10"/>
        <rFont val="Arial"/>
        <family val="0"/>
        <charset val="1"/>
      </rPr>
      <t xml:space="preserve">(Beautyworld ME </t>
    </r>
    <r>
      <rPr>
        <sz val="10"/>
        <rFont val="PingFang SC"/>
        <family val="2"/>
      </rPr>
      <t xml:space="preserve">부스 보조</t>
    </r>
    <r>
      <rPr>
        <sz val="10"/>
        <rFont val="Arial"/>
        <family val="0"/>
        <charset val="1"/>
      </rPr>
      <t xml:space="preserve">)</t>
    </r>
  </si>
  <si>
    <r>
      <rPr>
        <sz val="9"/>
        <color rgb="FF666666"/>
        <rFont val="Arial"/>
        <family val="0"/>
        <charset val="1"/>
      </rPr>
      <t xml:space="preserve">M3 </t>
    </r>
    <r>
      <rPr>
        <sz val="9"/>
        <color rgb="FF666666"/>
        <rFont val="PingFang SC"/>
        <family val="2"/>
      </rPr>
      <t xml:space="preserve">즉시 신청 </t>
    </r>
    <r>
      <rPr>
        <sz val="9"/>
        <color rgb="FF666666"/>
        <rFont val="Arial"/>
        <family val="0"/>
        <charset val="1"/>
      </rPr>
      <t xml:space="preserve">(Beautyworld ME 2026.10)</t>
    </r>
  </si>
  <si>
    <t xml:space="preserve">콘텐츠진흥원 글로벌</t>
  </si>
  <si>
    <t xml:space="preserve">M5</t>
  </si>
  <si>
    <r>
      <rPr>
        <sz val="9"/>
        <color rgb="FF666666"/>
        <rFont val="Arial"/>
        <family val="0"/>
        <charset val="1"/>
      </rPr>
      <t xml:space="preserve">KOCCA, </t>
    </r>
    <r>
      <rPr>
        <sz val="9"/>
        <color rgb="FF666666"/>
        <rFont val="PingFang SC"/>
        <family val="2"/>
      </rPr>
      <t xml:space="preserve">앱</t>
    </r>
    <r>
      <rPr>
        <sz val="9"/>
        <color rgb="FF666666"/>
        <rFont val="Arial"/>
        <family val="0"/>
        <charset val="1"/>
      </rPr>
      <t xml:space="preserve">·</t>
    </r>
    <r>
      <rPr>
        <sz val="9"/>
        <color rgb="FF666666"/>
        <rFont val="PingFang SC"/>
        <family val="2"/>
      </rPr>
      <t xml:space="preserve">콘텐츠 마케팅 </t>
    </r>
    <r>
      <rPr>
        <sz val="9"/>
        <color rgb="FF666666"/>
        <rFont val="Arial"/>
        <family val="0"/>
        <charset val="1"/>
      </rPr>
      <t xml:space="preserve">(₩5</t>
    </r>
    <r>
      <rPr>
        <sz val="9"/>
        <color rgb="FF666666"/>
        <rFont val="PingFang SC"/>
        <family val="2"/>
      </rPr>
      <t xml:space="preserve">천</t>
    </r>
    <r>
      <rPr>
        <sz val="9"/>
        <color rgb="FF666666"/>
        <rFont val="Arial"/>
        <family val="0"/>
        <charset val="1"/>
      </rPr>
      <t xml:space="preserve">-1</t>
    </r>
    <r>
      <rPr>
        <sz val="9"/>
        <color rgb="FF666666"/>
        <rFont val="PingFang SC"/>
        <family val="2"/>
      </rPr>
      <t xml:space="preserve">억 범위</t>
    </r>
    <r>
      <rPr>
        <sz val="9"/>
        <color rgb="FF666666"/>
        <rFont val="Arial"/>
        <family val="0"/>
        <charset val="1"/>
      </rPr>
      <t xml:space="preserve">)</t>
    </r>
  </si>
  <si>
    <t xml:space="preserve">수출바우처</t>
  </si>
  <si>
    <t xml:space="preserve">M6</t>
  </si>
  <si>
    <r>
      <rPr>
        <sz val="9"/>
        <color rgb="FF666666"/>
        <rFont val="Arial"/>
        <family val="0"/>
        <charset val="1"/>
      </rPr>
      <t xml:space="preserve">KOTRA·</t>
    </r>
    <r>
      <rPr>
        <sz val="9"/>
        <color rgb="FF666666"/>
        <rFont val="PingFang SC"/>
        <family val="2"/>
      </rPr>
      <t xml:space="preserve">중기부 매칭형 </t>
    </r>
    <r>
      <rPr>
        <sz val="9"/>
        <color rgb="FF666666"/>
        <rFont val="Arial"/>
        <family val="0"/>
        <charset val="1"/>
      </rPr>
      <t xml:space="preserve">(</t>
    </r>
    <r>
      <rPr>
        <sz val="9"/>
        <color rgb="FF666666"/>
        <rFont val="PingFang SC"/>
        <family val="2"/>
      </rPr>
      <t xml:space="preserve">자부담 </t>
    </r>
    <r>
      <rPr>
        <sz val="9"/>
        <color rgb="FF666666"/>
        <rFont val="Arial"/>
        <family val="0"/>
        <charset val="1"/>
      </rPr>
      <t xml:space="preserve">30%), </t>
    </r>
    <r>
      <rPr>
        <sz val="9"/>
        <color rgb="FF666666"/>
        <rFont val="PingFang SC"/>
        <family val="2"/>
      </rPr>
      <t xml:space="preserve">마케팅</t>
    </r>
    <r>
      <rPr>
        <sz val="9"/>
        <color rgb="FF666666"/>
        <rFont val="Arial"/>
        <family val="0"/>
        <charset val="1"/>
      </rPr>
      <t xml:space="preserve">·</t>
    </r>
    <r>
      <rPr>
        <sz val="9"/>
        <color rgb="FF666666"/>
        <rFont val="PingFang SC"/>
        <family val="2"/>
      </rPr>
      <t xml:space="preserve">통번역</t>
    </r>
    <r>
      <rPr>
        <sz val="9"/>
        <color rgb="FF666666"/>
        <rFont val="Arial"/>
        <family val="0"/>
        <charset val="1"/>
      </rPr>
      <t xml:space="preserve">·</t>
    </r>
    <r>
      <rPr>
        <sz val="9"/>
        <color rgb="FF666666"/>
        <rFont val="PingFang SC"/>
        <family val="2"/>
      </rPr>
      <t xml:space="preserve">인증</t>
    </r>
  </si>
  <si>
    <t xml:space="preserve">수출초보기업 육성</t>
  </si>
  <si>
    <r>
      <rPr>
        <sz val="9"/>
        <color rgb="FF666666"/>
        <rFont val="Arial"/>
        <family val="0"/>
        <charset val="1"/>
      </rPr>
      <t xml:space="preserve">KOTRA </t>
    </r>
    <r>
      <rPr>
        <sz val="9"/>
        <color rgb="FF666666"/>
        <rFont val="PingFang SC"/>
        <family val="2"/>
      </rPr>
      <t xml:space="preserve">인큐베이팅</t>
    </r>
  </si>
  <si>
    <r>
      <rPr>
        <sz val="10"/>
        <rFont val="PingFang SC"/>
        <family val="2"/>
      </rPr>
      <t xml:space="preserve">청년일자리도약장려금 </t>
    </r>
    <r>
      <rPr>
        <sz val="10"/>
        <rFont val="Arial"/>
        <family val="0"/>
        <charset val="1"/>
      </rPr>
      <t xml:space="preserve">1</t>
    </r>
    <r>
      <rPr>
        <sz val="10"/>
        <rFont val="PingFang SC"/>
        <family val="2"/>
      </rPr>
      <t xml:space="preserve">차 </t>
    </r>
    <r>
      <rPr>
        <sz val="10"/>
        <rFont val="Arial"/>
        <family val="0"/>
        <charset val="1"/>
      </rPr>
      <t xml:space="preserve">(M6)</t>
    </r>
  </si>
  <si>
    <r>
      <rPr>
        <sz val="9"/>
        <color rgb="FF666666"/>
        <rFont val="Arial"/>
        <family val="0"/>
        <charset val="1"/>
      </rPr>
      <t xml:space="preserve">6 FTE × ₩720</t>
    </r>
    <r>
      <rPr>
        <sz val="9"/>
        <color rgb="FF666666"/>
        <rFont val="PingFang SC"/>
        <family val="2"/>
      </rPr>
      <t xml:space="preserve">만</t>
    </r>
    <r>
      <rPr>
        <sz val="9"/>
        <color rgb="FF666666"/>
        <rFont val="Arial"/>
        <family val="0"/>
        <charset val="1"/>
      </rPr>
      <t xml:space="preserve">/</t>
    </r>
    <r>
      <rPr>
        <sz val="9"/>
        <color rgb="FF666666"/>
        <rFont val="PingFang SC"/>
        <family val="2"/>
      </rPr>
      <t xml:space="preserve">년</t>
    </r>
    <r>
      <rPr>
        <sz val="9"/>
        <color rgb="FF666666"/>
        <rFont val="Arial"/>
        <family val="0"/>
        <charset val="1"/>
      </rPr>
      <t xml:space="preserve">, </t>
    </r>
    <r>
      <rPr>
        <sz val="9"/>
        <color rgb="FF666666"/>
        <rFont val="PingFang SC"/>
        <family val="2"/>
      </rPr>
      <t xml:space="preserve">고용노동부</t>
    </r>
  </si>
  <si>
    <r>
      <rPr>
        <sz val="10"/>
        <rFont val="PingFang SC"/>
        <family val="2"/>
      </rPr>
      <t xml:space="preserve">창업성장 </t>
    </r>
    <r>
      <rPr>
        <sz val="10"/>
        <rFont val="Arial"/>
        <family val="0"/>
        <charset val="1"/>
      </rPr>
      <t xml:space="preserve">R&amp;D </t>
    </r>
    <r>
      <rPr>
        <sz val="10"/>
        <rFont val="PingFang SC"/>
        <family val="2"/>
      </rPr>
      <t xml:space="preserve">디딤돌</t>
    </r>
  </si>
  <si>
    <t xml:space="preserve">M7</t>
  </si>
  <si>
    <r>
      <rPr>
        <sz val="9"/>
        <color rgb="FF666666"/>
        <rFont val="Arial"/>
        <family val="0"/>
        <charset val="1"/>
      </rPr>
      <t xml:space="preserve">M7 </t>
    </r>
    <r>
      <rPr>
        <sz val="9"/>
        <color rgb="FF666666"/>
        <rFont val="PingFang SC"/>
        <family val="2"/>
      </rPr>
      <t xml:space="preserve">신청 </t>
    </r>
    <r>
      <rPr>
        <sz val="9"/>
        <color rgb="FF666666"/>
        <rFont val="Arial"/>
        <family val="0"/>
        <charset val="1"/>
      </rPr>
      <t xml:space="preserve">(2027.01), </t>
    </r>
    <r>
      <rPr>
        <sz val="9"/>
        <color rgb="FF666666"/>
        <rFont val="PingFang SC"/>
        <family val="2"/>
      </rPr>
      <t xml:space="preserve">중기부</t>
    </r>
    <r>
      <rPr>
        <sz val="9"/>
        <color rgb="FF666666"/>
        <rFont val="Arial"/>
        <family val="0"/>
        <charset val="1"/>
      </rPr>
      <t xml:space="preserve">·AI/</t>
    </r>
    <r>
      <rPr>
        <sz val="9"/>
        <color rgb="FF666666"/>
        <rFont val="PingFang SC"/>
        <family val="2"/>
      </rPr>
      <t xml:space="preserve">물류 </t>
    </r>
    <r>
      <rPr>
        <sz val="9"/>
        <color rgb="FF666666"/>
        <rFont val="Arial"/>
        <family val="0"/>
        <charset val="1"/>
      </rPr>
      <t xml:space="preserve">R&amp;D</t>
    </r>
  </si>
  <si>
    <r>
      <rPr>
        <sz val="10"/>
        <rFont val="PingFang SC"/>
        <family val="2"/>
      </rPr>
      <t xml:space="preserve">사회적기업가육성사업 </t>
    </r>
    <r>
      <rPr>
        <sz val="10"/>
        <rFont val="Arial"/>
        <family val="0"/>
        <charset val="1"/>
      </rPr>
      <t xml:space="preserve">(</t>
    </r>
    <r>
      <rPr>
        <sz val="10"/>
        <rFont val="PingFang SC"/>
        <family val="2"/>
      </rPr>
      <t xml:space="preserve">해당 시</t>
    </r>
    <r>
      <rPr>
        <sz val="10"/>
        <rFont val="Arial"/>
        <family val="0"/>
        <charset val="1"/>
      </rPr>
      <t xml:space="preserve">)</t>
    </r>
  </si>
  <si>
    <t xml:space="preserve">M8</t>
  </si>
  <si>
    <r>
      <rPr>
        <sz val="9"/>
        <color rgb="FF666666"/>
        <rFont val="PingFang SC"/>
        <family val="2"/>
      </rPr>
      <t xml:space="preserve">사회적기업진흥원</t>
    </r>
    <r>
      <rPr>
        <sz val="9"/>
        <color rgb="FF666666"/>
        <rFont val="Arial"/>
        <family val="0"/>
        <charset val="1"/>
      </rPr>
      <t xml:space="preserve">, </t>
    </r>
    <r>
      <rPr>
        <sz val="9"/>
        <color rgb="FF666666"/>
        <rFont val="PingFang SC"/>
        <family val="2"/>
      </rPr>
      <t xml:space="preserve">적용 여부 검토</t>
    </r>
  </si>
  <si>
    <r>
      <rPr>
        <sz val="10"/>
        <rFont val="Arial"/>
        <family val="0"/>
        <charset val="1"/>
      </rPr>
      <t xml:space="preserve">SBA </t>
    </r>
    <r>
      <rPr>
        <sz val="10"/>
        <rFont val="PingFang SC"/>
        <family val="2"/>
      </rPr>
      <t xml:space="preserve">청년창업 </t>
    </r>
    <r>
      <rPr>
        <sz val="10"/>
        <rFont val="Arial"/>
        <family val="0"/>
        <charset val="1"/>
      </rPr>
      <t xml:space="preserve">(</t>
    </r>
    <r>
      <rPr>
        <sz val="10"/>
        <rFont val="PingFang SC"/>
        <family val="2"/>
      </rPr>
      <t xml:space="preserve">서울경제진흥원</t>
    </r>
    <r>
      <rPr>
        <sz val="10"/>
        <rFont val="Arial"/>
        <family val="0"/>
        <charset val="1"/>
      </rPr>
      <t xml:space="preserve">)</t>
    </r>
  </si>
  <si>
    <t xml:space="preserve">M9</t>
  </si>
  <si>
    <t xml:space="preserve">서울 청년창업</t>
  </si>
  <si>
    <r>
      <rPr>
        <sz val="10"/>
        <rFont val="PingFang SC"/>
        <family val="2"/>
      </rPr>
      <t xml:space="preserve">글로벌 강소기업 </t>
    </r>
    <r>
      <rPr>
        <sz val="10"/>
        <rFont val="Arial"/>
        <family val="0"/>
        <charset val="1"/>
      </rPr>
      <t xml:space="preserve">1000+</t>
    </r>
  </si>
  <si>
    <t xml:space="preserve">M11</t>
  </si>
  <si>
    <r>
      <rPr>
        <sz val="9"/>
        <color rgb="FF666666"/>
        <rFont val="Arial"/>
        <family val="0"/>
        <charset val="1"/>
      </rPr>
      <t xml:space="preserve">M11 </t>
    </r>
    <r>
      <rPr>
        <sz val="9"/>
        <color rgb="FF666666"/>
        <rFont val="PingFang SC"/>
        <family val="2"/>
      </rPr>
      <t xml:space="preserve">신청 </t>
    </r>
    <r>
      <rPr>
        <sz val="9"/>
        <color rgb="FF666666"/>
        <rFont val="Arial"/>
        <family val="0"/>
        <charset val="1"/>
      </rPr>
      <t xml:space="preserve">(2027.05), KOTRA·</t>
    </r>
    <r>
      <rPr>
        <sz val="9"/>
        <color rgb="FF666666"/>
        <rFont val="PingFang SC"/>
        <family val="2"/>
      </rPr>
      <t xml:space="preserve">중기부 ₩</t>
    </r>
    <r>
      <rPr>
        <sz val="9"/>
        <color rgb="FF666666"/>
        <rFont val="Arial"/>
        <family val="0"/>
        <charset val="1"/>
      </rPr>
      <t xml:space="preserve">1-2</t>
    </r>
    <r>
      <rPr>
        <sz val="9"/>
        <color rgb="FF666666"/>
        <rFont val="PingFang SC"/>
        <family val="2"/>
      </rPr>
      <t xml:space="preserve">억</t>
    </r>
  </si>
  <si>
    <r>
      <rPr>
        <sz val="10"/>
        <rFont val="Arial"/>
        <family val="0"/>
        <charset val="1"/>
      </rPr>
      <t xml:space="preserve">TIPS (</t>
    </r>
    <r>
      <rPr>
        <sz val="10"/>
        <rFont val="PingFang SC"/>
        <family val="2"/>
      </rPr>
      <t xml:space="preserve">수도권</t>
    </r>
    <r>
      <rPr>
        <sz val="10"/>
        <rFont val="Arial"/>
        <family val="0"/>
        <charset val="1"/>
      </rPr>
      <t xml:space="preserve">)</t>
    </r>
  </si>
  <si>
    <t xml:space="preserve">M12</t>
  </si>
  <si>
    <r>
      <rPr>
        <sz val="9"/>
        <color rgb="FF666666"/>
        <rFont val="Arial"/>
        <family val="0"/>
        <charset val="1"/>
      </rPr>
      <t xml:space="preserve">M12 </t>
    </r>
    <r>
      <rPr>
        <sz val="9"/>
        <color rgb="FF666666"/>
        <rFont val="PingFang SC"/>
        <family val="2"/>
      </rPr>
      <t xml:space="preserve">신청 </t>
    </r>
    <r>
      <rPr>
        <sz val="9"/>
        <color rgb="FF666666"/>
        <rFont val="Arial"/>
        <family val="0"/>
        <charset val="1"/>
      </rPr>
      <t xml:space="preserve">(2027.07), </t>
    </r>
    <r>
      <rPr>
        <sz val="9"/>
        <color rgb="FF666666"/>
        <rFont val="PingFang SC"/>
        <family val="2"/>
      </rPr>
      <t xml:space="preserve">운영사 추천 </t>
    </r>
    <r>
      <rPr>
        <sz val="9"/>
        <color rgb="FF666666"/>
        <rFont val="Arial"/>
        <family val="0"/>
        <charset val="1"/>
      </rPr>
      <t xml:space="preserve">+ Pre-A VC </t>
    </r>
    <r>
      <rPr>
        <sz val="9"/>
        <color rgb="FF666666"/>
        <rFont val="PingFang SC"/>
        <family val="2"/>
      </rPr>
      <t xml:space="preserve">매칭 필수</t>
    </r>
  </si>
  <si>
    <t xml:space="preserve">Phase 1.5</t>
  </si>
  <si>
    <r>
      <rPr>
        <sz val="10"/>
        <rFont val="Arial"/>
        <family val="0"/>
        <charset val="1"/>
      </rPr>
      <t xml:space="preserve">K-</t>
    </r>
    <r>
      <rPr>
        <sz val="10"/>
        <rFont val="PingFang SC"/>
        <family val="2"/>
      </rPr>
      <t xml:space="preserve">스타트업 본선 상금</t>
    </r>
  </si>
  <si>
    <t xml:space="preserve">M18</t>
  </si>
  <si>
    <r>
      <rPr>
        <sz val="9"/>
        <color rgb="FF666666"/>
        <rFont val="Arial"/>
        <family val="0"/>
        <charset val="1"/>
      </rPr>
      <t xml:space="preserve">M18 (</t>
    </r>
    <r>
      <rPr>
        <sz val="9"/>
        <color rgb="FF666666"/>
        <rFont val="PingFang SC"/>
        <family val="2"/>
      </rPr>
      <t xml:space="preserve">조건부</t>
    </r>
    <r>
      <rPr>
        <sz val="9"/>
        <color rgb="FF666666"/>
        <rFont val="Arial"/>
        <family val="0"/>
        <charset val="1"/>
      </rPr>
      <t xml:space="preserve">), </t>
    </r>
    <r>
      <rPr>
        <sz val="9"/>
        <color rgb="FF666666"/>
        <rFont val="PingFang SC"/>
        <family val="2"/>
      </rPr>
      <t xml:space="preserve">권역별 예선 통과 시</t>
    </r>
  </si>
  <si>
    <r>
      <rPr>
        <sz val="10"/>
        <rFont val="PingFang SC"/>
        <family val="2"/>
      </rPr>
      <t xml:space="preserve">글로벌 진출 </t>
    </r>
    <r>
      <rPr>
        <sz val="10"/>
        <rFont val="Arial"/>
        <family val="0"/>
        <charset val="1"/>
      </rPr>
      <t xml:space="preserve">R&amp;D</t>
    </r>
  </si>
  <si>
    <r>
      <rPr>
        <sz val="9"/>
        <color rgb="FF666666"/>
        <rFont val="Arial"/>
        <family val="0"/>
        <charset val="1"/>
      </rPr>
      <t xml:space="preserve">M18 (</t>
    </r>
    <r>
      <rPr>
        <sz val="9"/>
        <color rgb="FF666666"/>
        <rFont val="PingFang SC"/>
        <family val="2"/>
      </rPr>
      <t xml:space="preserve">조건부</t>
    </r>
    <r>
      <rPr>
        <sz val="9"/>
        <color rgb="FF666666"/>
        <rFont val="Arial"/>
        <family val="0"/>
        <charset val="1"/>
      </rPr>
      <t xml:space="preserve">), </t>
    </r>
    <r>
      <rPr>
        <sz val="9"/>
        <color rgb="FF666666"/>
        <rFont val="PingFang SC"/>
        <family val="2"/>
      </rPr>
      <t xml:space="preserve">중기부</t>
    </r>
    <r>
      <rPr>
        <sz val="9"/>
        <color rgb="FF666666"/>
        <rFont val="Arial"/>
        <family val="0"/>
        <charset val="1"/>
      </rPr>
      <t xml:space="preserve">·KIAT, ₩2-5</t>
    </r>
    <r>
      <rPr>
        <sz val="9"/>
        <color rgb="FF666666"/>
        <rFont val="PingFang SC"/>
        <family val="2"/>
      </rPr>
      <t xml:space="preserve">억</t>
    </r>
  </si>
  <si>
    <r>
      <rPr>
        <sz val="10"/>
        <rFont val="PingFang SC"/>
        <family val="2"/>
      </rPr>
      <t xml:space="preserve">창업도약패키지 </t>
    </r>
    <r>
      <rPr>
        <sz val="10"/>
        <rFont val="Arial"/>
        <family val="0"/>
        <charset val="1"/>
      </rPr>
      <t xml:space="preserve">(3</t>
    </r>
    <r>
      <rPr>
        <sz val="10"/>
        <rFont val="PingFang SC"/>
        <family val="2"/>
      </rPr>
      <t xml:space="preserve">년차</t>
    </r>
    <r>
      <rPr>
        <sz val="10"/>
        <rFont val="Arial"/>
        <family val="0"/>
        <charset val="1"/>
      </rPr>
      <t xml:space="preserve">+)</t>
    </r>
  </si>
  <si>
    <t xml:space="preserve">M30</t>
  </si>
  <si>
    <r>
      <rPr>
        <sz val="9"/>
        <color rgb="FF666666"/>
        <rFont val="Arial"/>
        <family val="0"/>
        <charset val="1"/>
      </rPr>
      <t xml:space="preserve">M30 (Phase 1.5+), </t>
    </r>
    <r>
      <rPr>
        <sz val="9"/>
        <color rgb="FF666666"/>
        <rFont val="PingFang SC"/>
        <family val="2"/>
      </rPr>
      <t xml:space="preserve">창업진흥원</t>
    </r>
  </si>
  <si>
    <r>
      <rPr>
        <sz val="10"/>
        <rFont val="PingFang SC"/>
        <family val="2"/>
      </rPr>
      <t xml:space="preserve">기술보증기금 보증 </t>
    </r>
    <r>
      <rPr>
        <sz val="10"/>
        <rFont val="Arial"/>
        <family val="0"/>
        <charset val="1"/>
      </rPr>
      <t xml:space="preserve">(</t>
    </r>
    <r>
      <rPr>
        <sz val="10"/>
        <rFont val="PingFang SC"/>
        <family val="2"/>
      </rPr>
      <t xml:space="preserve">저리 대출</t>
    </r>
    <r>
      <rPr>
        <sz val="10"/>
        <rFont val="Arial"/>
        <family val="0"/>
        <charset val="1"/>
      </rPr>
      <t xml:space="preserve">)</t>
    </r>
  </si>
  <si>
    <r>
      <rPr>
        <sz val="9"/>
        <color rgb="FF666666"/>
        <rFont val="Arial"/>
        <family val="0"/>
        <charset val="1"/>
      </rPr>
      <t xml:space="preserve">KIBO, </t>
    </r>
    <r>
      <rPr>
        <sz val="9"/>
        <color rgb="FF666666"/>
        <rFont val="PingFang SC"/>
        <family val="2"/>
      </rPr>
      <t xml:space="preserve">기술평가 통과 시</t>
    </r>
    <r>
      <rPr>
        <sz val="9"/>
        <color rgb="FF666666"/>
        <rFont val="Arial"/>
        <family val="0"/>
        <charset val="1"/>
      </rPr>
      <t xml:space="preserve">·</t>
    </r>
    <r>
      <rPr>
        <sz val="9"/>
        <color rgb="FF666666"/>
        <rFont val="PingFang SC"/>
        <family val="2"/>
      </rPr>
      <t xml:space="preserve">자본 아님</t>
    </r>
  </si>
  <si>
    <r>
      <rPr>
        <b val="true"/>
        <sz val="9"/>
        <rFont val="PingFang SC"/>
        <family val="2"/>
      </rPr>
      <t xml:space="preserve">보증</t>
    </r>
    <r>
      <rPr>
        <b val="true"/>
        <sz val="9"/>
        <rFont val="Arial"/>
        <family val="0"/>
        <charset val="1"/>
      </rPr>
      <t xml:space="preserve">·</t>
    </r>
    <r>
      <rPr>
        <b val="true"/>
        <sz val="9"/>
        <rFont val="PingFang SC"/>
        <family val="2"/>
      </rPr>
      <t xml:space="preserve">대출</t>
    </r>
  </si>
  <si>
    <r>
      <rPr>
        <sz val="10"/>
        <rFont val="PingFang SC"/>
        <family val="2"/>
      </rPr>
      <t xml:space="preserve">신용보증기금 보증 </t>
    </r>
    <r>
      <rPr>
        <sz val="10"/>
        <rFont val="Arial"/>
        <family val="0"/>
        <charset val="1"/>
      </rPr>
      <t xml:space="preserve">(</t>
    </r>
    <r>
      <rPr>
        <sz val="10"/>
        <rFont val="PingFang SC"/>
        <family val="2"/>
      </rPr>
      <t xml:space="preserve">저리 대출</t>
    </r>
    <r>
      <rPr>
        <sz val="10"/>
        <rFont val="Arial"/>
        <family val="0"/>
        <charset val="1"/>
      </rPr>
      <t xml:space="preserve">)</t>
    </r>
  </si>
  <si>
    <r>
      <rPr>
        <sz val="9"/>
        <color rgb="FF666666"/>
        <rFont val="Arial"/>
        <family val="0"/>
        <charset val="1"/>
      </rPr>
      <t xml:space="preserve">KODIT, </t>
    </r>
    <r>
      <rPr>
        <sz val="9"/>
        <color rgb="FF666666"/>
        <rFont val="PingFang SC"/>
        <family val="2"/>
      </rPr>
      <t xml:space="preserve">동일 유형</t>
    </r>
    <r>
      <rPr>
        <sz val="9"/>
        <color rgb="FF666666"/>
        <rFont val="Arial"/>
        <family val="0"/>
        <charset val="1"/>
      </rPr>
      <t xml:space="preserve">·</t>
    </r>
    <r>
      <rPr>
        <sz val="9"/>
        <color rgb="FF666666"/>
        <rFont val="PingFang SC"/>
        <family val="2"/>
      </rPr>
      <t xml:space="preserve">자본 아님</t>
    </r>
  </si>
  <si>
    <r>
      <rPr>
        <sz val="10"/>
        <rFont val="PingFang SC"/>
        <family val="2"/>
      </rPr>
      <t xml:space="preserve">창업기업 운영자금 대출 </t>
    </r>
    <r>
      <rPr>
        <sz val="10"/>
        <rFont val="Arial"/>
        <family val="0"/>
        <charset val="1"/>
      </rPr>
      <t xml:space="preserve">(3% </t>
    </r>
    <r>
      <rPr>
        <sz val="10"/>
        <rFont val="PingFang SC"/>
        <family val="2"/>
      </rPr>
      <t xml:space="preserve">이하</t>
    </r>
    <r>
      <rPr>
        <sz val="10"/>
        <rFont val="Arial"/>
        <family val="0"/>
        <charset val="1"/>
      </rPr>
      <t xml:space="preserve">)</t>
    </r>
  </si>
  <si>
    <r>
      <rPr>
        <sz val="9"/>
        <color rgb="FF666666"/>
        <rFont val="PingFang SC"/>
        <family val="2"/>
      </rPr>
      <t xml:space="preserve">중기부</t>
    </r>
    <r>
      <rPr>
        <sz val="9"/>
        <color rgb="FF666666"/>
        <rFont val="Arial"/>
        <family val="0"/>
        <charset val="1"/>
      </rPr>
      <t xml:space="preserve">·</t>
    </r>
    <r>
      <rPr>
        <sz val="9"/>
        <color rgb="FF666666"/>
        <rFont val="PingFang SC"/>
        <family val="2"/>
      </rPr>
      <t xml:space="preserve">신보</t>
    </r>
    <r>
      <rPr>
        <sz val="9"/>
        <color rgb="FF666666"/>
        <rFont val="Arial"/>
        <family val="0"/>
        <charset val="1"/>
      </rPr>
      <t xml:space="preserve">, </t>
    </r>
    <r>
      <rPr>
        <sz val="9"/>
        <color rgb="FF666666"/>
        <rFont val="PingFang SC"/>
        <family val="2"/>
      </rPr>
      <t xml:space="preserve">정부 보조 이자</t>
    </r>
    <r>
      <rPr>
        <sz val="9"/>
        <color rgb="FF666666"/>
        <rFont val="Arial"/>
        <family val="0"/>
        <charset val="1"/>
      </rPr>
      <t xml:space="preserve">·</t>
    </r>
    <r>
      <rPr>
        <sz val="9"/>
        <color rgb="FF666666"/>
        <rFont val="PingFang SC"/>
        <family val="2"/>
      </rPr>
      <t xml:space="preserve">자본 아님</t>
    </r>
  </si>
  <si>
    <r>
      <rPr>
        <b val="true"/>
        <sz val="11"/>
        <rFont val="PingFang SC"/>
        <family val="2"/>
      </rPr>
      <t xml:space="preserve">합계 — 자본성 </t>
    </r>
    <r>
      <rPr>
        <b val="true"/>
        <sz val="11"/>
        <rFont val="Arial"/>
        <family val="0"/>
        <charset val="1"/>
      </rPr>
      <t xml:space="preserve">(</t>
    </r>
    <r>
      <rPr>
        <b val="true"/>
        <sz val="11"/>
        <rFont val="PingFang SC"/>
        <family val="2"/>
      </rPr>
      <t xml:space="preserve">보증</t>
    </r>
    <r>
      <rPr>
        <b val="true"/>
        <sz val="11"/>
        <rFont val="Arial"/>
        <family val="0"/>
        <charset val="1"/>
      </rPr>
      <t xml:space="preserve">·</t>
    </r>
    <r>
      <rPr>
        <b val="true"/>
        <sz val="11"/>
        <rFont val="PingFang SC"/>
        <family val="2"/>
      </rPr>
      <t xml:space="preserve">대출 제외</t>
    </r>
    <r>
      <rPr>
        <b val="true"/>
        <sz val="11"/>
        <rFont val="Arial"/>
        <family val="0"/>
        <charset val="1"/>
      </rPr>
      <t xml:space="preserve">)</t>
    </r>
  </si>
  <si>
    <r>
      <rPr>
        <i val="true"/>
        <sz val="9"/>
        <rFont val="Arial"/>
        <family val="0"/>
        <charset val="1"/>
      </rPr>
      <t xml:space="preserve">Phase 0+1+1.5 </t>
    </r>
    <r>
      <rPr>
        <i val="true"/>
        <sz val="9"/>
        <rFont val="PingFang SC"/>
        <family val="2"/>
      </rPr>
      <t xml:space="preserve">자본성 합산 </t>
    </r>
    <r>
      <rPr>
        <i val="true"/>
        <sz val="9"/>
        <rFont val="Arial"/>
        <family val="0"/>
        <charset val="1"/>
      </rPr>
      <t xml:space="preserve">(TIPS </t>
    </r>
    <r>
      <rPr>
        <i val="true"/>
        <sz val="9"/>
        <rFont val="PingFang SC"/>
        <family val="2"/>
      </rPr>
      <t xml:space="preserve">등 조건부 포함</t>
    </r>
    <r>
      <rPr>
        <i val="true"/>
        <sz val="9"/>
        <rFont val="Arial"/>
        <family val="0"/>
        <charset val="1"/>
      </rPr>
      <t xml:space="preserve">)</t>
    </r>
  </si>
  <si>
    <r>
      <rPr>
        <b val="true"/>
        <sz val="11"/>
        <rFont val="PingFang SC"/>
        <family val="2"/>
      </rPr>
      <t xml:space="preserve">합계 — 보증</t>
    </r>
    <r>
      <rPr>
        <b val="true"/>
        <sz val="11"/>
        <rFont val="Arial"/>
        <family val="0"/>
        <charset val="1"/>
      </rPr>
      <t xml:space="preserve">·</t>
    </r>
    <r>
      <rPr>
        <b val="true"/>
        <sz val="11"/>
        <rFont val="PingFang SC"/>
        <family val="2"/>
      </rPr>
      <t xml:space="preserve">대출 </t>
    </r>
    <r>
      <rPr>
        <b val="true"/>
        <sz val="11"/>
        <rFont val="Arial"/>
        <family val="0"/>
        <charset val="1"/>
      </rPr>
      <t xml:space="preserve">(</t>
    </r>
    <r>
      <rPr>
        <b val="true"/>
        <sz val="11"/>
        <rFont val="PingFang SC"/>
        <family val="2"/>
      </rPr>
      <t xml:space="preserve">운영자금 보강</t>
    </r>
    <r>
      <rPr>
        <b val="true"/>
        <sz val="11"/>
        <rFont val="Arial"/>
        <family val="0"/>
        <charset val="1"/>
      </rPr>
      <t xml:space="preserve">)</t>
    </r>
  </si>
  <si>
    <r>
      <rPr>
        <i val="true"/>
        <sz val="9"/>
        <rFont val="PingFang SC"/>
        <family val="2"/>
      </rPr>
      <t xml:space="preserve">저리 대출 보증 </t>
    </r>
    <r>
      <rPr>
        <i val="true"/>
        <sz val="9"/>
        <rFont val="Arial"/>
        <family val="0"/>
        <charset val="1"/>
      </rPr>
      <t xml:space="preserve">(</t>
    </r>
    <r>
      <rPr>
        <i val="true"/>
        <sz val="9"/>
        <rFont val="PingFang SC"/>
        <family val="2"/>
      </rPr>
      <t xml:space="preserve">자본 아님</t>
    </r>
    <r>
      <rPr>
        <i val="true"/>
        <sz val="9"/>
        <rFont val="Arial"/>
        <family val="0"/>
        <charset val="1"/>
      </rPr>
      <t xml:space="preserve">)</t>
    </r>
  </si>
  <si>
    <r>
      <rPr>
        <i val="true"/>
        <sz val="9"/>
        <color rgb="FF8B5A2B"/>
        <rFont val="Arial"/>
        <family val="0"/>
        <charset val="1"/>
      </rPr>
      <t xml:space="preserve">📌 CashFlow E (Govt Support Inflow) </t>
    </r>
    <r>
      <rPr>
        <i val="true"/>
        <sz val="9"/>
        <color rgb="FF8B5A2B"/>
        <rFont val="PingFang SC"/>
        <family val="2"/>
      </rPr>
      <t xml:space="preserve">는 본 </t>
    </r>
    <r>
      <rPr>
        <i val="true"/>
        <sz val="9"/>
        <color rgb="FF8B5A2B"/>
        <rFont val="Arial"/>
        <family val="0"/>
        <charset val="1"/>
      </rPr>
      <t xml:space="preserve">§9 </t>
    </r>
    <r>
      <rPr>
        <i val="true"/>
        <sz val="9"/>
        <color rgb="FF8B5A2B"/>
        <rFont val="PingFang SC"/>
        <family val="2"/>
      </rPr>
      <t xml:space="preserve">의 자본성 프로그램만 자동 합산 </t>
    </r>
    <r>
      <rPr>
        <i val="true"/>
        <sz val="9"/>
        <color rgb="FF8B5A2B"/>
        <rFont val="Arial"/>
        <family val="0"/>
        <charset val="1"/>
      </rPr>
      <t xml:space="preserve">(</t>
    </r>
    <r>
      <rPr>
        <i val="true"/>
        <sz val="9"/>
        <color rgb="FF8B5A2B"/>
        <rFont val="PingFang SC"/>
        <family val="2"/>
      </rPr>
      <t xml:space="preserve">보증</t>
    </r>
    <r>
      <rPr>
        <i val="true"/>
        <sz val="9"/>
        <color rgb="FF8B5A2B"/>
        <rFont val="Arial"/>
        <family val="0"/>
        <charset val="1"/>
      </rPr>
      <t xml:space="preserve">·</t>
    </r>
    <r>
      <rPr>
        <i val="true"/>
        <sz val="9"/>
        <color rgb="FF8B5A2B"/>
        <rFont val="PingFang SC"/>
        <family val="2"/>
      </rPr>
      <t xml:space="preserve">대출 제외</t>
    </r>
    <r>
      <rPr>
        <i val="true"/>
        <sz val="9"/>
        <color rgb="FF8B5A2B"/>
        <rFont val="Arial"/>
        <family val="0"/>
        <charset val="1"/>
      </rPr>
      <t xml:space="preserve">).</t>
    </r>
  </si>
  <si>
    <r>
      <rPr>
        <i val="true"/>
        <sz val="9"/>
        <color rgb="FF8B5A2B"/>
        <rFont val="PingFang SC"/>
        <family val="2"/>
      </rPr>
      <t xml:space="preserve">   조건부 </t>
    </r>
    <r>
      <rPr>
        <i val="true"/>
        <sz val="9"/>
        <color rgb="FF8B5A2B"/>
        <rFont val="Arial"/>
        <family val="0"/>
        <charset val="1"/>
      </rPr>
      <t xml:space="preserve">(TIPS·K-</t>
    </r>
    <r>
      <rPr>
        <i val="true"/>
        <sz val="9"/>
        <color rgb="FF8B5A2B"/>
        <rFont val="PingFang SC"/>
        <family val="2"/>
      </rPr>
      <t xml:space="preserve">스타트업 본선</t>
    </r>
    <r>
      <rPr>
        <i val="true"/>
        <sz val="9"/>
        <color rgb="FF8B5A2B"/>
        <rFont val="Arial"/>
        <family val="0"/>
        <charset val="1"/>
      </rPr>
      <t xml:space="preserve">·</t>
    </r>
    <r>
      <rPr>
        <i val="true"/>
        <sz val="9"/>
        <color rgb="FF8B5A2B"/>
        <rFont val="PingFang SC"/>
        <family val="2"/>
      </rPr>
      <t xml:space="preserve">글로벌 </t>
    </r>
    <r>
      <rPr>
        <i val="true"/>
        <sz val="9"/>
        <color rgb="FF8B5A2B"/>
        <rFont val="Arial"/>
        <family val="0"/>
        <charset val="1"/>
      </rPr>
      <t xml:space="preserve">R&amp;D) </t>
    </r>
    <r>
      <rPr>
        <i val="true"/>
        <sz val="9"/>
        <color rgb="FF8B5A2B"/>
        <rFont val="PingFang SC"/>
        <family val="2"/>
      </rPr>
      <t xml:space="preserve">도 합산됨 — 미통과 시 해당 행 </t>
    </r>
    <r>
      <rPr>
        <i val="true"/>
        <sz val="9"/>
        <color rgb="FF8B5A2B"/>
        <rFont val="Arial"/>
        <family val="0"/>
        <charset val="1"/>
      </rPr>
      <t xml:space="preserve">B </t>
    </r>
    <r>
      <rPr>
        <i val="true"/>
        <sz val="9"/>
        <color rgb="FF8B5A2B"/>
        <rFont val="PingFang SC"/>
        <family val="2"/>
      </rPr>
      <t xml:space="preserve">값을 </t>
    </r>
    <r>
      <rPr>
        <i val="true"/>
        <sz val="9"/>
        <color rgb="FF8B5A2B"/>
        <rFont val="Arial"/>
        <family val="0"/>
        <charset val="1"/>
      </rPr>
      <t xml:space="preserve">0 </t>
    </r>
    <r>
      <rPr>
        <i val="true"/>
        <sz val="9"/>
        <color rgb="FF8B5A2B"/>
        <rFont val="PingFang SC"/>
        <family val="2"/>
      </rPr>
      <t xml:space="preserve">으로 변경</t>
    </r>
    <r>
      <rPr>
        <i val="true"/>
        <sz val="9"/>
        <color rgb="FF8B5A2B"/>
        <rFont val="Arial"/>
        <family val="0"/>
        <charset val="1"/>
      </rPr>
      <t xml:space="preserve">.</t>
    </r>
  </si>
  <si>
    <t xml:space="preserve">🎯 Unit Economics — 주문 1건당 손익 (Stripe vs Tabby BNPL 비교)
[원본 제목: Unit Economics — 주문 1건당 P&amp;L (Profit and Loss · 손익)]
목적: 주문 1건당 매출이 어떻게 마진으로 변환되는지 검증. PG/BNPL 선택의 단위 경제성 비교.
얻을 수 있는 정보: 주문당 GMV · 마이다미 매출 · PG 수수료 · DDP 비용 · 매출원가(셀러 정산) · 순마진(KRW·USD).
보는 법: B열=Stripe(카드 PG, 4% blended) / C열=Tabby(BNPL, 6% 수수료). 두 결제 옵션의 마진 차이 정량화. Assumptions B7(AOV)·B11(PG fee) 변경 시 즉시 반영. Tabby가 객단가 +30~50% 효과를 내야 Stripe와 동등하다는 가정 검증.</t>
  </si>
  <si>
    <t xml:space="preserve">시나리오 비교: Stripe (카드 PG) vs Tabby (BNPL — Buy Now Pay Later · 후불결제)</t>
  </si>
  <si>
    <t xml:space="preserve">시나리오 비교: Stripe (카드) vs Tabby (BNPL)</t>
  </si>
  <si>
    <t xml:space="preserve">Line Item</t>
  </si>
  <si>
    <t xml:space="preserve">Stripe (KRW)</t>
  </si>
  <si>
    <t xml:space="preserve">Tabby (KRW)</t>
  </si>
  <si>
    <t xml:space="preserve">Stripe (USD)</t>
  </si>
  <si>
    <t xml:space="preserve">Tabby (USD)</t>
  </si>
  <si>
    <r>
      <rPr>
        <sz val="10"/>
        <color rgb="FF000000"/>
        <rFont val="Arial"/>
        <family val="0"/>
        <charset val="1"/>
      </rPr>
      <t xml:space="preserve">GMV — Gross Merchandise Value · </t>
    </r>
    <r>
      <rPr>
        <sz val="10"/>
        <color rgb="FF000000"/>
        <rFont val="PingFang SC"/>
        <family val="2"/>
      </rPr>
      <t xml:space="preserve">총 거래액 </t>
    </r>
    <r>
      <rPr>
        <sz val="10"/>
        <color rgb="FF000000"/>
        <rFont val="Arial"/>
        <family val="0"/>
        <charset val="1"/>
      </rPr>
      <t xml:space="preserve">(Gross Order Value)</t>
    </r>
  </si>
  <si>
    <r>
      <rPr>
        <sz val="10"/>
        <color rgb="FF000000"/>
        <rFont val="Arial"/>
        <family val="0"/>
        <charset val="1"/>
      </rPr>
      <t xml:space="preserve">Damii Revenue · </t>
    </r>
    <r>
      <rPr>
        <sz val="10"/>
        <color rgb="FF000000"/>
        <rFont val="PingFang SC"/>
        <family val="2"/>
      </rPr>
      <t xml:space="preserve">매출 </t>
    </r>
    <r>
      <rPr>
        <sz val="10"/>
        <color rgb="FF000000"/>
        <rFont val="Arial"/>
        <family val="0"/>
        <charset val="1"/>
      </rPr>
      <t xml:space="preserve">(</t>
    </r>
    <r>
      <rPr>
        <sz val="10"/>
        <color rgb="FF000000"/>
        <rFont val="PingFang SC"/>
        <family val="2"/>
      </rPr>
      <t xml:space="preserve">총액법 </t>
    </r>
    <r>
      <rPr>
        <sz val="10"/>
        <color rgb="FF000000"/>
        <rFont val="Arial"/>
        <family val="0"/>
        <charset val="1"/>
      </rPr>
      <t xml:space="preserve">#079)</t>
    </r>
  </si>
  <si>
    <r>
      <rPr>
        <sz val="10"/>
        <color rgb="FF000000"/>
        <rFont val="Arial"/>
        <family val="0"/>
        <charset val="1"/>
      </rPr>
      <t xml:space="preserve">COGS — Cost Of Goods Sold · </t>
    </r>
    <r>
      <rPr>
        <sz val="10"/>
        <color rgb="FF000000"/>
        <rFont val="PingFang SC"/>
        <family val="2"/>
      </rPr>
      <t xml:space="preserve">매출원가 </t>
    </r>
    <r>
      <rPr>
        <sz val="10"/>
        <color rgb="FF000000"/>
        <rFont val="Arial"/>
        <family val="0"/>
        <charset val="1"/>
      </rPr>
      <t xml:space="preserve">(</t>
    </r>
    <r>
      <rPr>
        <sz val="10"/>
        <color rgb="FF000000"/>
        <rFont val="PingFang SC"/>
        <family val="2"/>
      </rPr>
      <t xml:space="preserve">입점사 정산 </t>
    </r>
    <r>
      <rPr>
        <sz val="10"/>
        <color rgb="FF000000"/>
        <rFont val="Arial"/>
        <family val="0"/>
        <charset val="1"/>
      </rPr>
      <t xml:space="preserve">70%)</t>
    </r>
  </si>
  <si>
    <r>
      <rPr>
        <b val="true"/>
        <sz val="10"/>
        <rFont val="Arial"/>
        <family val="0"/>
        <charset val="1"/>
      </rPr>
      <t xml:space="preserve">Gross Profit — </t>
    </r>
    <r>
      <rPr>
        <b val="true"/>
        <sz val="10"/>
        <rFont val="PingFang SC"/>
        <family val="2"/>
      </rPr>
      <t xml:space="preserve">매출총이익 </t>
    </r>
    <r>
      <rPr>
        <b val="true"/>
        <sz val="10"/>
        <rFont val="Arial"/>
        <family val="0"/>
        <charset val="1"/>
      </rPr>
      <t xml:space="preserve">(Revenue - COGS)</t>
    </r>
  </si>
  <si>
    <r>
      <rPr>
        <sz val="10"/>
        <color rgb="FF000000"/>
        <rFont val="Arial"/>
        <family val="0"/>
        <charset val="1"/>
      </rPr>
      <t xml:space="preserve">Payment Fee — </t>
    </r>
    <r>
      <rPr>
        <sz val="10"/>
        <color rgb="FF000000"/>
        <rFont val="PingFang SC"/>
        <family val="2"/>
      </rPr>
      <t xml:space="preserve">결제수수료 </t>
    </r>
    <r>
      <rPr>
        <sz val="10"/>
        <color rgb="FF000000"/>
        <rFont val="Arial"/>
        <family val="0"/>
        <charset val="1"/>
      </rPr>
      <t xml:space="preserve">(Stripe 2.5% / Tabby 6%)</t>
    </r>
  </si>
  <si>
    <r>
      <rPr>
        <sz val="10"/>
        <color rgb="FF000000"/>
        <rFont val="Arial"/>
        <family val="0"/>
        <charset val="1"/>
      </rPr>
      <t xml:space="preserve">Shipping — DDP </t>
    </r>
    <r>
      <rPr>
        <sz val="10"/>
        <color rgb="FF000000"/>
        <rFont val="PingFang SC"/>
        <family val="2"/>
      </rPr>
      <t xml:space="preserve">관세포함배송 </t>
    </r>
    <r>
      <rPr>
        <sz val="10"/>
        <color rgb="FF000000"/>
        <rFont val="Arial"/>
        <family val="0"/>
        <charset val="1"/>
      </rPr>
      <t xml:space="preserve">+ </t>
    </r>
    <r>
      <rPr>
        <sz val="10"/>
        <color rgb="FF000000"/>
        <rFont val="PingFang SC"/>
        <family val="2"/>
      </rPr>
      <t xml:space="preserve">관세사 수수료</t>
    </r>
  </si>
  <si>
    <r>
      <rPr>
        <sz val="10"/>
        <color rgb="FF000000"/>
        <rFont val="Arial"/>
        <family val="0"/>
        <charset val="1"/>
      </rPr>
      <t xml:space="preserve">Marketing (allocated 10% — </t>
    </r>
    <r>
      <rPr>
        <sz val="10"/>
        <color rgb="FF000000"/>
        <rFont val="PingFang SC"/>
        <family val="2"/>
      </rPr>
      <t xml:space="preserve">마케팅 배분</t>
    </r>
    <r>
      <rPr>
        <sz val="10"/>
        <color rgb="FF000000"/>
        <rFont val="Arial"/>
        <family val="0"/>
        <charset val="1"/>
      </rPr>
      <t xml:space="preserve">)</t>
    </r>
  </si>
  <si>
    <r>
      <rPr>
        <b val="true"/>
        <sz val="10"/>
        <rFont val="Arial"/>
        <family val="0"/>
        <charset val="1"/>
      </rPr>
      <t xml:space="preserve">Contribution Margin · CM — </t>
    </r>
    <r>
      <rPr>
        <b val="true"/>
        <sz val="10"/>
        <rFont val="PingFang SC"/>
        <family val="2"/>
      </rPr>
      <t xml:space="preserve">한계공헌이익 </t>
    </r>
    <r>
      <rPr>
        <b val="true"/>
        <sz val="10"/>
        <rFont val="Arial"/>
        <family val="0"/>
        <charset val="1"/>
      </rPr>
      <t xml:space="preserve">(per order, </t>
    </r>
    <r>
      <rPr>
        <b val="true"/>
        <sz val="10"/>
        <rFont val="PingFang SC"/>
        <family val="2"/>
      </rPr>
      <t xml:space="preserve">변동비 차감 후</t>
    </r>
    <r>
      <rPr>
        <b val="true"/>
        <sz val="10"/>
        <rFont val="Arial"/>
        <family val="0"/>
        <charset val="1"/>
      </rPr>
      <t xml:space="preserve">)</t>
    </r>
  </si>
  <si>
    <r>
      <rPr>
        <b val="true"/>
        <sz val="10"/>
        <rFont val="Arial"/>
        <family val="0"/>
        <charset val="1"/>
      </rPr>
      <t xml:space="preserve">CM Margin % — </t>
    </r>
    <r>
      <rPr>
        <b val="true"/>
        <sz val="10"/>
        <rFont val="PingFang SC"/>
        <family val="2"/>
      </rPr>
      <t xml:space="preserve">한계공헌이익률</t>
    </r>
  </si>
  <si>
    <r>
      <rPr>
        <sz val="11"/>
        <color theme="1"/>
        <rFont val="Calibri"/>
        <family val="2"/>
        <charset val="1"/>
      </rPr>
      <t xml:space="preserve">• Stripe </t>
    </r>
    <r>
      <rPr>
        <sz val="11"/>
        <color theme="1"/>
        <rFont val="PingFang SC"/>
        <family val="2"/>
      </rPr>
      <t xml:space="preserve">결제 시 주문당 약 ₩</t>
    </r>
    <r>
      <rPr>
        <sz val="11"/>
        <color theme="1"/>
        <rFont val="Calibri"/>
        <family val="2"/>
        <charset val="1"/>
      </rPr>
      <t xml:space="preserve">250 </t>
    </r>
    <r>
      <rPr>
        <sz val="11"/>
        <color theme="1"/>
        <rFont val="PingFang SC"/>
        <family val="2"/>
      </rPr>
      <t xml:space="preserve">마진 </t>
    </r>
    <r>
      <rPr>
        <sz val="11"/>
        <color theme="1"/>
        <rFont val="Calibri"/>
        <family val="2"/>
        <charset val="1"/>
      </rPr>
      <t xml:space="preserve">(0.4%). Tabby BNPL</t>
    </r>
    <r>
      <rPr>
        <sz val="11"/>
        <color theme="1"/>
        <rFont val="PingFang SC"/>
        <family val="2"/>
      </rPr>
      <t xml:space="preserve">은 마이너스 </t>
    </r>
    <r>
      <rPr>
        <sz val="11"/>
        <color theme="1"/>
        <rFont val="Calibri"/>
        <family val="2"/>
        <charset val="1"/>
      </rPr>
      <t xml:space="preserve">(-₩2,200, -3.1%) — </t>
    </r>
    <r>
      <rPr>
        <sz val="11"/>
        <color theme="1"/>
        <rFont val="PingFang SC"/>
        <family val="2"/>
      </rPr>
      <t xml:space="preserve">관세사 수수료 ₩</t>
    </r>
    <r>
      <rPr>
        <sz val="11"/>
        <color theme="1"/>
        <rFont val="Calibri"/>
        <family val="2"/>
        <charset val="1"/>
      </rPr>
      <t xml:space="preserve">5K </t>
    </r>
    <r>
      <rPr>
        <sz val="11"/>
        <color theme="1"/>
        <rFont val="PingFang SC"/>
        <family val="2"/>
      </rPr>
      <t xml:space="preserve">반영 시</t>
    </r>
  </si>
  <si>
    <t xml:space="preserve">• Tabby는 객단가 +30~50% 효과 가능성 (UAE 데이터, 검증 필요) → 절대 마진 부분 보전</t>
  </si>
  <si>
    <t xml:space="preserve">• 합배송 70%+ 도달 시 관세사·DDP 분담으로 영업이익률 15-22% 회복 (analysis/04 §8, 정상 운영)</t>
  </si>
  <si>
    <t xml:space="preserve">• UAE 단독 첫 6개월은 Tabby 비중 50%+ 가정 (보수 시나리오) · Marketing 10% allocation 후 CM</t>
  </si>
  <si>
    <t xml:space="preserve">• 합배송 70%+ 도달 시 통관·DDP 비용 분담으로 마진 15~22% 회복 (#079).</t>
  </si>
  <si>
    <r>
      <rPr>
        <sz val="10"/>
        <color rgb="FF56423E"/>
        <rFont val="Arial"/>
        <family val="0"/>
        <charset val="1"/>
      </rPr>
      <t xml:space="preserve">• UAE </t>
    </r>
    <r>
      <rPr>
        <sz val="10"/>
        <color rgb="FF56423E"/>
        <rFont val="PingFang SC"/>
        <family val="2"/>
      </rPr>
      <t xml:space="preserve">단독 첫 </t>
    </r>
    <r>
      <rPr>
        <sz val="10"/>
        <color rgb="FF56423E"/>
        <rFont val="Arial"/>
        <family val="0"/>
        <charset val="1"/>
      </rPr>
      <t xml:space="preserve">6</t>
    </r>
    <r>
      <rPr>
        <sz val="10"/>
        <color rgb="FF56423E"/>
        <rFont val="PingFang SC"/>
        <family val="2"/>
      </rPr>
      <t xml:space="preserve">개월은 </t>
    </r>
    <r>
      <rPr>
        <sz val="10"/>
        <color rgb="FF56423E"/>
        <rFont val="Arial"/>
        <family val="0"/>
        <charset val="1"/>
      </rPr>
      <t xml:space="preserve">Tabby </t>
    </r>
    <r>
      <rPr>
        <sz val="10"/>
        <color rgb="FF56423E"/>
        <rFont val="PingFang SC"/>
        <family val="2"/>
      </rPr>
      <t xml:space="preserve">비중 </t>
    </r>
    <r>
      <rPr>
        <sz val="10"/>
        <color rgb="FF56423E"/>
        <rFont val="Arial"/>
        <family val="0"/>
        <charset val="1"/>
      </rPr>
      <t xml:space="preserve">50%+ </t>
    </r>
    <r>
      <rPr>
        <sz val="10"/>
        <color rgb="FF56423E"/>
        <rFont val="PingFang SC"/>
        <family val="2"/>
      </rPr>
      <t xml:space="preserve">가정 </t>
    </r>
    <r>
      <rPr>
        <sz val="10"/>
        <color rgb="FF56423E"/>
        <rFont val="Arial"/>
        <family val="0"/>
        <charset val="1"/>
      </rPr>
      <t xml:space="preserve">(</t>
    </r>
    <r>
      <rPr>
        <sz val="10"/>
        <color rgb="FF56423E"/>
        <rFont val="PingFang SC"/>
        <family val="2"/>
      </rPr>
      <t xml:space="preserve">보수 시나리오</t>
    </r>
    <r>
      <rPr>
        <sz val="10"/>
        <color rgb="FF56423E"/>
        <rFont val="Arial"/>
        <family val="0"/>
        <charset val="1"/>
      </rPr>
      <t xml:space="preserve">).</t>
    </r>
  </si>
  <si>
    <t xml:space="preserve">🎯 Revenue — 36개월 매출 시뮬레이션 (총액법 #079)
[원본 제목: Revenue &amp; Volume — 36개월 (GMV·Damii Revenue 추적)]
목적: 베타 런칭 후 36개월 동안의 주문량·GMV·마이다미 매출 곡선 시뮬레이션. PnL·CashFlow의 입력.
얻을 수 있는 정보: 월별 주문 수 · AOV · GMV(총거래액) · 마이다미 매출(KRW·USD) · 누적 매출.
보는 법: 행=월(M1-M36). Assumptions B15(M1 베타 주문수) + B16-B19(구간별 성장률) 변경 시 전체 곡선 변화. Phase 1.5 트리거 시 성장률 가정 재조정 권장. 누적 매출(H열)은 자금 시나리오 검증용.</t>
  </si>
  <si>
    <t xml:space="preserve">Month #</t>
  </si>
  <si>
    <t xml:space="preserve">Date Label</t>
  </si>
  <si>
    <t xml:space="preserve">Orders</t>
  </si>
  <si>
    <t xml:space="preserve">AOV — Average Order Value (KRW)</t>
  </si>
  <si>
    <r>
      <rPr>
        <b val="true"/>
        <sz val="11"/>
        <color rgb="FFFFFFFF"/>
        <rFont val="Arial"/>
        <family val="0"/>
        <charset val="1"/>
      </rPr>
      <t xml:space="preserve">GMV — Gross Merchandise Value · </t>
    </r>
    <r>
      <rPr>
        <b val="true"/>
        <sz val="11"/>
        <color rgb="FFFFFFFF"/>
        <rFont val="PingFang SC"/>
        <family val="2"/>
      </rPr>
      <t xml:space="preserve">총거래액 </t>
    </r>
    <r>
      <rPr>
        <b val="true"/>
        <sz val="11"/>
        <color rgb="FFFFFFFF"/>
        <rFont val="Arial"/>
        <family val="0"/>
        <charset val="1"/>
      </rPr>
      <t xml:space="preserve">(KRW)</t>
    </r>
  </si>
  <si>
    <r>
      <rPr>
        <b val="true"/>
        <sz val="11"/>
        <color rgb="FFFFFFFF"/>
        <rFont val="Arial"/>
        <family val="0"/>
        <charset val="1"/>
      </rPr>
      <t xml:space="preserve">Damii Revenue — </t>
    </r>
    <r>
      <rPr>
        <b val="true"/>
        <sz val="11"/>
        <color rgb="FFFFFFFF"/>
        <rFont val="PingFang SC"/>
        <family val="2"/>
      </rPr>
      <t xml:space="preserve">매출 </t>
    </r>
    <r>
      <rPr>
        <b val="true"/>
        <sz val="11"/>
        <color rgb="FFFFFFFF"/>
        <rFont val="Arial"/>
        <family val="0"/>
        <charset val="1"/>
      </rPr>
      <t xml:space="preserve">(KRW, </t>
    </r>
    <r>
      <rPr>
        <b val="true"/>
        <sz val="11"/>
        <color rgb="FFFFFFFF"/>
        <rFont val="PingFang SC"/>
        <family val="2"/>
      </rPr>
      <t xml:space="preserve">총액법 </t>
    </r>
    <r>
      <rPr>
        <b val="true"/>
        <sz val="11"/>
        <color rgb="FFFFFFFF"/>
        <rFont val="Arial"/>
        <family val="0"/>
        <charset val="1"/>
      </rPr>
      <t xml:space="preserve">#079)</t>
    </r>
  </si>
  <si>
    <r>
      <rPr>
        <b val="true"/>
        <sz val="11"/>
        <color rgb="FFFFFFFF"/>
        <rFont val="Arial"/>
        <family val="0"/>
        <charset val="1"/>
      </rPr>
      <t xml:space="preserve">Damii Revenue (USD, FX 1,400 </t>
    </r>
    <r>
      <rPr>
        <b val="true"/>
        <sz val="11"/>
        <color rgb="FFFFFFFF"/>
        <rFont val="PingFang SC"/>
        <family val="2"/>
      </rPr>
      <t xml:space="preserve">적용</t>
    </r>
    <r>
      <rPr>
        <b val="true"/>
        <sz val="11"/>
        <color rgb="FFFFFFFF"/>
        <rFont val="Arial"/>
        <family val="0"/>
        <charset val="1"/>
      </rPr>
      <t xml:space="preserve">)</t>
    </r>
  </si>
  <si>
    <r>
      <rPr>
        <b val="true"/>
        <sz val="11"/>
        <color rgb="FFFFFFFF"/>
        <rFont val="Arial"/>
        <family val="0"/>
        <charset val="1"/>
      </rPr>
      <t xml:space="preserve">Cumulative Revenue — </t>
    </r>
    <r>
      <rPr>
        <b val="true"/>
        <sz val="11"/>
        <color rgb="FFFFFFFF"/>
        <rFont val="PingFang SC"/>
        <family val="2"/>
      </rPr>
      <t xml:space="preserve">누적매출 </t>
    </r>
    <r>
      <rPr>
        <b val="true"/>
        <sz val="11"/>
        <color rgb="FFFFFFFF"/>
        <rFont val="Arial"/>
        <family val="0"/>
        <charset val="1"/>
      </rPr>
      <t xml:space="preserve">(KRW)</t>
    </r>
  </si>
  <si>
    <t xml:space="preserve">2026.08 (M1)</t>
  </si>
  <si>
    <t xml:space="preserve">2026.09 (M2)</t>
  </si>
  <si>
    <t xml:space="preserve">2026.10 (M3)</t>
  </si>
  <si>
    <t xml:space="preserve">2026.11 (M4)</t>
  </si>
  <si>
    <t xml:space="preserve">2026.12 (M5)</t>
  </si>
  <si>
    <t xml:space="preserve">2027.01 (M6)</t>
  </si>
  <si>
    <t xml:space="preserve">2027.02 (M7)</t>
  </si>
  <si>
    <t xml:space="preserve">2027.03 (M8)</t>
  </si>
  <si>
    <t xml:space="preserve">2027.04 (M9)</t>
  </si>
  <si>
    <t xml:space="preserve">2027.05 (M10)</t>
  </si>
  <si>
    <t xml:space="preserve">2027.06 (M11)</t>
  </si>
  <si>
    <t xml:space="preserve">2027.07 (M12)</t>
  </si>
  <si>
    <t xml:space="preserve">2027.08 (M13)</t>
  </si>
  <si>
    <t xml:space="preserve">2027.09 (M14)</t>
  </si>
  <si>
    <t xml:space="preserve">2027.10 (M15)</t>
  </si>
  <si>
    <t xml:space="preserve">2027.11 (M16)</t>
  </si>
  <si>
    <t xml:space="preserve">2027.12 (M17)</t>
  </si>
  <si>
    <t xml:space="preserve">2028.01 (M18)</t>
  </si>
  <si>
    <t xml:space="preserve">2028.02 (M19)</t>
  </si>
  <si>
    <t xml:space="preserve">2028.03 (M20)</t>
  </si>
  <si>
    <t xml:space="preserve">2028.04 (M21)</t>
  </si>
  <si>
    <t xml:space="preserve">2028.05 (M22)</t>
  </si>
  <si>
    <t xml:space="preserve">2028.06 (M23)</t>
  </si>
  <si>
    <t xml:space="preserve">2028.07 (M24)</t>
  </si>
  <si>
    <t xml:space="preserve">2028.08 (M25)</t>
  </si>
  <si>
    <t xml:space="preserve">2028.09 (M26)</t>
  </si>
  <si>
    <t xml:space="preserve">2028.10 (M27)</t>
  </si>
  <si>
    <t xml:space="preserve">2028.11 (M28)</t>
  </si>
  <si>
    <t xml:space="preserve">2028.12 (M29)</t>
  </si>
  <si>
    <t xml:space="preserve">2029.01 (M30)</t>
  </si>
  <si>
    <t xml:space="preserve">2029.02 (M31)</t>
  </si>
  <si>
    <t xml:space="preserve">2029.03 (M32)</t>
  </si>
  <si>
    <t xml:space="preserve">2029.04 (M33)</t>
  </si>
  <si>
    <t xml:space="preserve">2029.05 (M34)</t>
  </si>
  <si>
    <t xml:space="preserve">2029.06 (M35)</t>
  </si>
  <si>
    <t xml:space="preserve">2029.07 (M36)</t>
  </si>
  <si>
    <t xml:space="preserve">Year 1 Total (M1-M12)</t>
  </si>
  <si>
    <t xml:space="preserve">Year 2 Total (M13-M24)</t>
  </si>
  <si>
    <t xml:space="preserve">Year 3 Total (M25-M36)</t>
  </si>
  <si>
    <t xml:space="preserve">3-Year Cumulative GMV</t>
  </si>
  <si>
    <r>
      <rPr>
        <i val="true"/>
        <sz val="10"/>
        <color rgb="FF56423E"/>
        <rFont val="Arial"/>
        <family val="0"/>
        <charset val="1"/>
      </rPr>
      <t xml:space="preserve">→ vs SOM </t>
    </r>
    <r>
      <rPr>
        <i val="true"/>
        <sz val="10"/>
        <color rgb="FF56423E"/>
        <rFont val="PingFang SC"/>
        <family val="2"/>
      </rPr>
      <t xml:space="preserve">보수 </t>
    </r>
    <r>
      <rPr>
        <i val="true"/>
        <sz val="10"/>
        <color rgb="FF56423E"/>
        <rFont val="Arial"/>
        <family val="0"/>
        <charset val="1"/>
      </rPr>
      <t xml:space="preserve">USD 8-25M (UAE only)</t>
    </r>
  </si>
  <si>
    <t xml:space="preserve">🎯 PnL (Profit &amp; Loss) — 36개월 손익계산서 (총액법 #079)
[원본 제목: Profit &amp; Loss — 손익계산서 · PnL · 36개월 (총액법 #079)]
목적: 매출에서 비용을 차감해 EBITDA(영업이익)을 계산. 손익분기 시점 식별. CashFlow의 영업CF 입력.
얻을 수 있는 정보: 월별 매출 · COGS(셀러 정산 70%) · 인건비 · 마케팅비 · 사무실·SaaS · EBITDA · 마지막 3열=Y1/Y2/Y3 합계.
보는 법: 행=손익 항목, 열=시간(36개월+연도 합계). 모든 셀=자동 계산(수정 금지). EBITDA가 양수로 전환되는 월 = 손익분기 시점. Y3 EBITDA 마진(%) 확인 = 비즈니스 건전성 핵심 지표.</t>
  </si>
  <si>
    <t xml:space="preserve">2027.01 (M1)</t>
  </si>
  <si>
    <t xml:space="preserve">2027.02 (M2)</t>
  </si>
  <si>
    <t xml:space="preserve">2027.03 (M3)</t>
  </si>
  <si>
    <t xml:space="preserve">2027.04 (M4)</t>
  </si>
  <si>
    <t xml:space="preserve">2027.05 (M5)</t>
  </si>
  <si>
    <t xml:space="preserve">2027.06 (M6)</t>
  </si>
  <si>
    <t xml:space="preserve">2027.07 (M7)</t>
  </si>
  <si>
    <t xml:space="preserve">2027.08 (M8)</t>
  </si>
  <si>
    <t xml:space="preserve">2027.09 (M9)</t>
  </si>
  <si>
    <t xml:space="preserve">2027.10 (M10)</t>
  </si>
  <si>
    <t xml:space="preserve">2027.11 (M11)</t>
  </si>
  <si>
    <t xml:space="preserve">2027.12 (M12)</t>
  </si>
  <si>
    <t xml:space="preserve">2028.01 (M13)</t>
  </si>
  <si>
    <t xml:space="preserve">2028.02 (M14)</t>
  </si>
  <si>
    <t xml:space="preserve">2028.03 (M15)</t>
  </si>
  <si>
    <t xml:space="preserve">2028.04 (M16)</t>
  </si>
  <si>
    <t xml:space="preserve">2028.05 (M17)</t>
  </si>
  <si>
    <t xml:space="preserve">2028.06 (M18)</t>
  </si>
  <si>
    <t xml:space="preserve">2028.07 (M19)</t>
  </si>
  <si>
    <t xml:space="preserve">2028.08 (M20)</t>
  </si>
  <si>
    <t xml:space="preserve">2028.09 (M21)</t>
  </si>
  <si>
    <t xml:space="preserve">2028.10 (M22)</t>
  </si>
  <si>
    <t xml:space="preserve">2028.11 (M23)</t>
  </si>
  <si>
    <t xml:space="preserve">2028.12 (M24)</t>
  </si>
  <si>
    <t xml:space="preserve">2029.01 (M25)</t>
  </si>
  <si>
    <t xml:space="preserve">2029.02 (M26)</t>
  </si>
  <si>
    <t xml:space="preserve">2029.03 (M27)</t>
  </si>
  <si>
    <t xml:space="preserve">2029.04 (M28)</t>
  </si>
  <si>
    <t xml:space="preserve">2029.05 (M29)</t>
  </si>
  <si>
    <t xml:space="preserve">2029.06 (M30)</t>
  </si>
  <si>
    <t xml:space="preserve">2029.07 (M31)</t>
  </si>
  <si>
    <t xml:space="preserve">2029.08 (M32)</t>
  </si>
  <si>
    <t xml:space="preserve">2029.09 (M33)</t>
  </si>
  <si>
    <t xml:space="preserve">2029.10 (M34)</t>
  </si>
  <si>
    <t xml:space="preserve">2029.11 (M35)</t>
  </si>
  <si>
    <t xml:space="preserve">2029.12 (M36)</t>
  </si>
  <si>
    <t xml:space="preserve">Y1 Total</t>
  </si>
  <si>
    <t xml:space="preserve">Y2 Total</t>
  </si>
  <si>
    <t xml:space="preserve">Y3 Total</t>
  </si>
  <si>
    <r>
      <rPr>
        <b val="true"/>
        <sz val="10"/>
        <rFont val="Arial"/>
        <family val="0"/>
        <charset val="1"/>
      </rPr>
      <t xml:space="preserve">Revenue — </t>
    </r>
    <r>
      <rPr>
        <b val="true"/>
        <sz val="10"/>
        <rFont val="PingFang SC"/>
        <family val="2"/>
      </rPr>
      <t xml:space="preserve">매출 </t>
    </r>
    <r>
      <rPr>
        <b val="true"/>
        <sz val="10"/>
        <rFont val="Arial"/>
        <family val="0"/>
        <charset val="1"/>
      </rPr>
      <t xml:space="preserve">(</t>
    </r>
    <r>
      <rPr>
        <b val="true"/>
        <sz val="10"/>
        <rFont val="PingFang SC"/>
        <family val="2"/>
      </rPr>
      <t xml:space="preserve">총액법 </t>
    </r>
    <r>
      <rPr>
        <b val="true"/>
        <sz val="10"/>
        <rFont val="Arial"/>
        <family val="0"/>
        <charset val="1"/>
      </rPr>
      <t xml:space="preserve">#079)</t>
    </r>
  </si>
  <si>
    <r>
      <rPr>
        <sz val="11"/>
        <color theme="1"/>
        <rFont val="Calibri"/>
        <family val="2"/>
        <charset val="1"/>
      </rPr>
      <t xml:space="preserve">COGS — Cost Of Goods Sold · </t>
    </r>
    <r>
      <rPr>
        <sz val="11"/>
        <color theme="1"/>
        <rFont val="PingFang SC"/>
        <family val="2"/>
      </rPr>
      <t xml:space="preserve">매출원가 </t>
    </r>
    <r>
      <rPr>
        <sz val="11"/>
        <color theme="1"/>
        <rFont val="Calibri"/>
        <family val="2"/>
        <charset val="1"/>
      </rPr>
      <t xml:space="preserve">(</t>
    </r>
    <r>
      <rPr>
        <sz val="11"/>
        <color theme="1"/>
        <rFont val="PingFang SC"/>
        <family val="2"/>
      </rPr>
      <t xml:space="preserve">입점사 정산 </t>
    </r>
    <r>
      <rPr>
        <sz val="11"/>
        <color theme="1"/>
        <rFont val="Calibri"/>
        <family val="2"/>
        <charset val="1"/>
      </rPr>
      <t xml:space="preserve">70%)</t>
    </r>
  </si>
  <si>
    <r>
      <rPr>
        <b val="true"/>
        <sz val="10"/>
        <rFont val="Arial"/>
        <family val="0"/>
        <charset val="1"/>
      </rPr>
      <t xml:space="preserve">Gross Profit — </t>
    </r>
    <r>
      <rPr>
        <b val="true"/>
        <sz val="10"/>
        <rFont val="PingFang SC"/>
        <family val="2"/>
      </rPr>
      <t xml:space="preserve">매출총이익</t>
    </r>
  </si>
  <si>
    <r>
      <rPr>
        <b val="true"/>
        <sz val="11"/>
        <color rgb="FF9F402D"/>
        <rFont val="Arial"/>
        <family val="0"/>
        <charset val="1"/>
      </rPr>
      <t xml:space="preserve">OPERATING EXPENSES — OpEx · </t>
    </r>
    <r>
      <rPr>
        <b val="true"/>
        <sz val="11"/>
        <color rgb="FF9F402D"/>
        <rFont val="PingFang SC"/>
        <family val="2"/>
      </rPr>
      <t xml:space="preserve">운영비용</t>
    </r>
  </si>
  <si>
    <r>
      <rPr>
        <sz val="11"/>
        <color theme="1"/>
        <rFont val="Calibri"/>
        <family val="2"/>
        <charset val="1"/>
      </rPr>
      <t xml:space="preserve">Headcount Cost — </t>
    </r>
    <r>
      <rPr>
        <sz val="11"/>
        <color theme="1"/>
        <rFont val="PingFang SC"/>
        <family val="2"/>
      </rPr>
      <t xml:space="preserve">인건비</t>
    </r>
  </si>
  <si>
    <r>
      <rPr>
        <sz val="11"/>
        <color theme="1"/>
        <rFont val="Calibri"/>
        <family val="2"/>
        <charset val="1"/>
      </rPr>
      <t xml:space="preserve">Office / SaaS — Software as a Service · </t>
    </r>
    <r>
      <rPr>
        <sz val="11"/>
        <color theme="1"/>
        <rFont val="PingFang SC"/>
        <family val="2"/>
      </rPr>
      <t xml:space="preserve">구독 </t>
    </r>
    <r>
      <rPr>
        <sz val="11"/>
        <color theme="1"/>
        <rFont val="Calibri"/>
        <family val="2"/>
        <charset val="1"/>
      </rPr>
      <t xml:space="preserve">SW</t>
    </r>
  </si>
  <si>
    <r>
      <rPr>
        <sz val="11"/>
        <color theme="1"/>
        <rFont val="Calibri"/>
        <family val="2"/>
        <charset val="1"/>
      </rPr>
      <t xml:space="preserve">Marketing — </t>
    </r>
    <r>
      <rPr>
        <sz val="11"/>
        <color theme="1"/>
        <rFont val="PingFang SC"/>
        <family val="2"/>
      </rPr>
      <t xml:space="preserve">마케팅</t>
    </r>
  </si>
  <si>
    <r>
      <rPr>
        <sz val="11"/>
        <color theme="1"/>
        <rFont val="Calibri"/>
        <family val="2"/>
        <charset val="1"/>
      </rPr>
      <t xml:space="preserve">Payment Fees — </t>
    </r>
    <r>
      <rPr>
        <sz val="11"/>
        <color theme="1"/>
        <rFont val="PingFang SC"/>
        <family val="2"/>
      </rPr>
      <t xml:space="preserve">결제수수료 </t>
    </r>
    <r>
      <rPr>
        <sz val="11"/>
        <color theme="1"/>
        <rFont val="Calibri"/>
        <family val="2"/>
        <charset val="1"/>
      </rPr>
      <t xml:space="preserve">(PG)</t>
    </r>
  </si>
  <si>
    <r>
      <rPr>
        <sz val="11"/>
        <color theme="1"/>
        <rFont val="Calibri"/>
        <family val="2"/>
        <charset val="1"/>
      </rPr>
      <t xml:space="preserve">Shipping (DDP + </t>
    </r>
    <r>
      <rPr>
        <sz val="11"/>
        <color theme="1"/>
        <rFont val="PingFang SC"/>
        <family val="2"/>
      </rPr>
      <t xml:space="preserve">관세사</t>
    </r>
    <r>
      <rPr>
        <sz val="11"/>
        <color theme="1"/>
        <rFont val="Calibri"/>
        <family val="2"/>
        <charset val="1"/>
      </rPr>
      <t xml:space="preserve">)</t>
    </r>
  </si>
  <si>
    <r>
      <rPr>
        <b val="true"/>
        <sz val="10"/>
        <rFont val="Arial"/>
        <family val="0"/>
        <charset val="1"/>
      </rPr>
      <t xml:space="preserve">Total OpEx — Operating Expenses · </t>
    </r>
    <r>
      <rPr>
        <b val="true"/>
        <sz val="10"/>
        <rFont val="PingFang SC"/>
        <family val="2"/>
      </rPr>
      <t xml:space="preserve">총 운영비용</t>
    </r>
  </si>
  <si>
    <r>
      <rPr>
        <b val="true"/>
        <sz val="10"/>
        <rFont val="Arial"/>
        <family val="0"/>
        <charset val="1"/>
      </rPr>
      <t xml:space="preserve">EBITDA — Earnings Before Interest, Taxes, Depreciation, Amortization · </t>
    </r>
    <r>
      <rPr>
        <b val="true"/>
        <sz val="10"/>
        <rFont val="PingFang SC"/>
        <family val="2"/>
      </rPr>
      <t xml:space="preserve">영업현금흐름 근사치</t>
    </r>
  </si>
  <si>
    <r>
      <rPr>
        <b val="true"/>
        <sz val="10"/>
        <rFont val="Arial"/>
        <family val="0"/>
        <charset val="1"/>
      </rPr>
      <t xml:space="preserve">EBITDA Margin % — </t>
    </r>
    <r>
      <rPr>
        <b val="true"/>
        <sz val="10"/>
        <rFont val="PingFang SC"/>
        <family val="2"/>
      </rPr>
      <t xml:space="preserve">영업현금흐름률</t>
    </r>
  </si>
  <si>
    <t xml:space="preserve">🎯 Headcount — 36개월 인력 계획·인건비
[원본 제목: Headcount Plan — 인력 계획 · 월별 FTE·인건비]
목적: 인력 채용 일정과 인건비를 시뮬레이션. PnL 인건비 항목과 CashFlow 정부지원(청년일자리도약장려금)의 입력.
얻을 수 있는 정보: 월별 FTE(정규직 환산) 수 · 총 인건비(KRW) · 1인당 평균 인건비.
보는 법: Assumptions B29-B32(M1-M6 6명 / M7-M12 8명 / M13-M24 10명 / M25-M36 14명) 가정 변경 시 자동 반영. 구간 사이 FTE 점프 = 채용 시점. 1인당 인건비(E열)은 채용 균형 검증용.</t>
  </si>
  <si>
    <r>
      <rPr>
        <b val="true"/>
        <sz val="11"/>
        <color rgb="FFFFFFFF"/>
        <rFont val="Arial"/>
        <family val="0"/>
        <charset val="1"/>
      </rPr>
      <t xml:space="preserve">FTE — Full-Time Equivalent · </t>
    </r>
    <r>
      <rPr>
        <b val="true"/>
        <sz val="11"/>
        <color rgb="FFFFFFFF"/>
        <rFont val="PingFang SC"/>
        <family val="2"/>
      </rPr>
      <t xml:space="preserve">정규직 환산 </t>
    </r>
    <r>
      <rPr>
        <b val="true"/>
        <sz val="11"/>
        <color rgb="FFFFFFFF"/>
        <rFont val="Arial"/>
        <family val="0"/>
        <charset val="1"/>
      </rPr>
      <t xml:space="preserve">Count</t>
    </r>
  </si>
  <si>
    <r>
      <rPr>
        <b val="true"/>
        <sz val="11"/>
        <color rgb="FFFFFFFF"/>
        <rFont val="Arial"/>
        <family val="0"/>
        <charset val="1"/>
      </rPr>
      <t xml:space="preserve">Total Comp — </t>
    </r>
    <r>
      <rPr>
        <b val="true"/>
        <sz val="11"/>
        <color rgb="FFFFFFFF"/>
        <rFont val="PingFang SC"/>
        <family val="2"/>
      </rPr>
      <t xml:space="preserve">총 인건비 </t>
    </r>
    <r>
      <rPr>
        <b val="true"/>
        <sz val="11"/>
        <color rgb="FFFFFFFF"/>
        <rFont val="Arial"/>
        <family val="0"/>
        <charset val="1"/>
      </rPr>
      <t xml:space="preserve">(KRW)</t>
    </r>
  </si>
  <si>
    <r>
      <rPr>
        <b val="true"/>
        <sz val="11"/>
        <color rgb="FFFFFFFF"/>
        <rFont val="Arial"/>
        <family val="0"/>
        <charset val="1"/>
      </rPr>
      <t xml:space="preserve">Comp / FTE — 1</t>
    </r>
    <r>
      <rPr>
        <b val="true"/>
        <sz val="11"/>
        <color rgb="FFFFFFFF"/>
        <rFont val="PingFang SC"/>
        <family val="2"/>
      </rPr>
      <t xml:space="preserve">인당 인건비 </t>
    </r>
    <r>
      <rPr>
        <b val="true"/>
        <sz val="11"/>
        <color rgb="FFFFFFFF"/>
        <rFont val="Arial"/>
        <family val="0"/>
        <charset val="1"/>
      </rPr>
      <t xml:space="preserve">(KRW)</t>
    </r>
  </si>
  <si>
    <t xml:space="preserve">Year 1 Total Comp</t>
  </si>
  <si>
    <t xml:space="preserve">Year 2 Total Comp</t>
  </si>
  <si>
    <t xml:space="preserve">Year 3 Total Comp</t>
  </si>
  <si>
    <t xml:space="preserve">3-Year Total</t>
  </si>
  <si>
    <t xml:space="preserve">🎯 CashFlow — 36개월 현금 흐름·런웨이 시뮬레이션
[원본 제목: Cash Flow &amp; Runway — 현금흐름 · CF · 36개월]
목적: 매월 현금 잔액을 추적해 런웨이(자금 소진까지 남은 기간) 식별. 가장 위험한 시점·자금 조달 시점 결정.
얻을 수 있는 정보: 시작 현금 · Pre-A 투자 유입 · 정부지원 유입(KIDP·청년일자리도약·SBA·TIPS·예비창업·초기창업·수출바우처) · 영업CF · 기말 현금(KRW·USD).
보는 법: G열(기말 현금)이 0 이하 = 런웨이 종료(자금 부족). Pre-A 시점(Assumptions B37) 변경으로 자금 부족 회피 시뮬레이션. 정부지원 시점(B40-B46) 조정 시 영향 확인. 가장 낮은 G열 = "현금 바닥" 시점 = 가장 위험한 월.</t>
  </si>
  <si>
    <r>
      <rPr>
        <b val="true"/>
        <sz val="11"/>
        <color rgb="FFFFFFFF"/>
        <rFont val="Arial"/>
        <family val="0"/>
        <charset val="1"/>
      </rPr>
      <t xml:space="preserve">Starting Cash — </t>
    </r>
    <r>
      <rPr>
        <b val="true"/>
        <sz val="11"/>
        <color rgb="FFFFFFFF"/>
        <rFont val="PingFang SC"/>
        <family val="2"/>
      </rPr>
      <t xml:space="preserve">시작 현금 </t>
    </r>
    <r>
      <rPr>
        <b val="true"/>
        <sz val="11"/>
        <color rgb="FFFFFFFF"/>
        <rFont val="Arial"/>
        <family val="0"/>
        <charset val="1"/>
      </rPr>
      <t xml:space="preserve">(KRW)</t>
    </r>
  </si>
  <si>
    <r>
      <rPr>
        <b val="true"/>
        <sz val="11"/>
        <color rgb="FFFFFFFF"/>
        <rFont val="Arial"/>
        <family val="0"/>
        <charset val="1"/>
      </rPr>
      <t xml:space="preserve">Pre-A (Pre-Series A) Inflow — </t>
    </r>
    <r>
      <rPr>
        <b val="true"/>
        <sz val="11"/>
        <color rgb="FFFFFFFF"/>
        <rFont val="PingFang SC"/>
        <family val="2"/>
      </rPr>
      <t xml:space="preserve">유입</t>
    </r>
  </si>
  <si>
    <r>
      <rPr>
        <b val="true"/>
        <sz val="11"/>
        <color rgb="FFFFFFFF"/>
        <rFont val="Arial"/>
        <family val="0"/>
        <charset val="1"/>
      </rPr>
      <t xml:space="preserve">Govt Support Inflow — </t>
    </r>
    <r>
      <rPr>
        <b val="true"/>
        <sz val="11"/>
        <color rgb="FFFFFFFF"/>
        <rFont val="PingFang SC"/>
        <family val="2"/>
      </rPr>
      <t xml:space="preserve">정부지원 유입</t>
    </r>
  </si>
  <si>
    <r>
      <rPr>
        <b val="true"/>
        <sz val="11"/>
        <color rgb="FFFFFFFF"/>
        <rFont val="Arial"/>
        <family val="0"/>
        <charset val="1"/>
      </rPr>
      <t xml:space="preserve">Operating CF — Cash Flow · </t>
    </r>
    <r>
      <rPr>
        <b val="true"/>
        <sz val="11"/>
        <color rgb="FFFFFFFF"/>
        <rFont val="PingFang SC"/>
        <family val="2"/>
      </rPr>
      <t xml:space="preserve">영업현금흐름 </t>
    </r>
    <r>
      <rPr>
        <b val="true"/>
        <sz val="11"/>
        <color rgb="FFFFFFFF"/>
        <rFont val="Arial"/>
        <family val="0"/>
        <charset val="1"/>
      </rPr>
      <t xml:space="preserve">(EBITDA proxy </t>
    </r>
    <r>
      <rPr>
        <b val="true"/>
        <sz val="11"/>
        <color rgb="FFFFFFFF"/>
        <rFont val="PingFang SC"/>
        <family val="2"/>
      </rPr>
      <t xml:space="preserve">근사치</t>
    </r>
    <r>
      <rPr>
        <b val="true"/>
        <sz val="11"/>
        <color rgb="FFFFFFFF"/>
        <rFont val="Arial"/>
        <family val="0"/>
        <charset val="1"/>
      </rPr>
      <t xml:space="preserve">)</t>
    </r>
  </si>
  <si>
    <r>
      <rPr>
        <b val="true"/>
        <sz val="11"/>
        <color rgb="FFFFFFFF"/>
        <rFont val="Arial"/>
        <family val="0"/>
        <charset val="1"/>
      </rPr>
      <t xml:space="preserve">Ending Cash — </t>
    </r>
    <r>
      <rPr>
        <b val="true"/>
        <sz val="11"/>
        <color rgb="FFFFFFFF"/>
        <rFont val="PingFang SC"/>
        <family val="2"/>
      </rPr>
      <t xml:space="preserve">기말 현금 </t>
    </r>
    <r>
      <rPr>
        <b val="true"/>
        <sz val="11"/>
        <color rgb="FFFFFFFF"/>
        <rFont val="Arial"/>
        <family val="0"/>
        <charset val="1"/>
      </rPr>
      <t xml:space="preserve">(KRW)</t>
    </r>
  </si>
  <si>
    <t xml:space="preserve">Ending Cash (USD, FX 1,400)</t>
  </si>
  <si>
    <t xml:space="preserve">Total Pre-A Inflow</t>
  </si>
  <si>
    <t xml:space="preserve">Total Govt Support</t>
  </si>
  <si>
    <t xml:space="preserve">Cumulative Operating CF (3yr)</t>
  </si>
  <si>
    <t xml:space="preserve">M36 Ending Cash</t>
  </si>
  <si>
    <t xml:space="preserve">🎯 Pre-A Scenarios — Pre-Series A 라운드 시나리오 + 자금 사용처
[원본 제목: Pre-A (Pre-Series A) 시나리오 + 자금 사용처 (Use of Funds)]
목적: Pre-A 라운드 옵션별(밸류·유치액·시점) 런웨이 영향을 비교. IR 라운드 의사결정 근거.
얻을 수 있는 정보: 시나리오별 밸류(KRW) · LOI 요건 · 유치 시점 · 추정 런웨이(개월).
보는 법: 각 행 = 시나리오(Conservative/Base/Optimistic 등). 런웨이 컬럼이 핵심 — 어느 시나리오에서도 24개월 이상 확보 가능한지 확인. 자금 사용처(2번째 표)는 IR 자료에 직접 인용.</t>
  </si>
  <si>
    <r>
      <rPr>
        <b val="true"/>
        <sz val="11"/>
        <color rgb="FF9F402D"/>
        <rFont val="Arial"/>
        <family val="0"/>
        <charset val="1"/>
      </rPr>
      <t xml:space="preserve">1. Pre-A </t>
    </r>
    <r>
      <rPr>
        <b val="true"/>
        <sz val="11"/>
        <color rgb="FF9F402D"/>
        <rFont val="PingFang SC"/>
        <family val="2"/>
      </rPr>
      <t xml:space="preserve">시나리오 비교 </t>
    </r>
    <r>
      <rPr>
        <b val="true"/>
        <sz val="11"/>
        <color rgb="FF9F402D"/>
        <rFont val="Arial"/>
        <family val="0"/>
        <charset val="1"/>
      </rPr>
      <t xml:space="preserve">(2</t>
    </r>
    <r>
      <rPr>
        <b val="true"/>
        <sz val="11"/>
        <color rgb="FF9F402D"/>
        <rFont val="PingFang SC"/>
        <family val="2"/>
      </rPr>
      <t xml:space="preserve">차 재사이즈</t>
    </r>
    <r>
      <rPr>
        <b val="true"/>
        <sz val="11"/>
        <color rgb="FF9F402D"/>
        <rFont val="Arial"/>
        <family val="0"/>
        <charset val="1"/>
      </rPr>
      <t xml:space="preserve">, CEO </t>
    </r>
    <r>
      <rPr>
        <b val="true"/>
        <sz val="11"/>
        <color rgb="FF9F402D"/>
        <rFont val="PingFang SC"/>
        <family val="2"/>
      </rPr>
      <t xml:space="preserve">결정 — </t>
    </r>
    <r>
      <rPr>
        <b val="true"/>
        <sz val="11"/>
        <color rgb="FF9F402D"/>
        <rFont val="Arial"/>
        <family val="0"/>
        <charset val="1"/>
      </rPr>
      <t xml:space="preserve">IR Pitch v3 </t>
    </r>
    <r>
      <rPr>
        <b val="true"/>
        <sz val="11"/>
        <color rgb="FF9F402D"/>
        <rFont val="PingFang SC"/>
        <family val="2"/>
      </rPr>
      <t xml:space="preserve">정합</t>
    </r>
    <r>
      <rPr>
        <b val="true"/>
        <sz val="11"/>
        <color rgb="FF9F402D"/>
        <rFont val="Arial"/>
        <family val="0"/>
        <charset val="1"/>
      </rPr>
      <t xml:space="preserve">)</t>
    </r>
  </si>
  <si>
    <t xml:space="preserve">밸류 (KRW)</t>
  </si>
  <si>
    <r>
      <rPr>
        <b val="true"/>
        <sz val="11"/>
        <color rgb="FFFFFFFF"/>
        <rFont val="Arial"/>
        <family val="0"/>
        <charset val="1"/>
      </rPr>
      <t xml:space="preserve">LOI </t>
    </r>
    <r>
      <rPr>
        <b val="true"/>
        <sz val="11"/>
        <color rgb="FFFFFFFF"/>
        <rFont val="PingFang SC"/>
        <family val="2"/>
      </rPr>
      <t xml:space="preserve">요건</t>
    </r>
  </si>
  <si>
    <t xml:space="preserve">시점</t>
  </si>
  <si>
    <t xml:space="preserve">런웨이 (estimated months)</t>
  </si>
  <si>
    <t xml:space="preserve">Inflow Midpoint (KRW)</t>
  </si>
  <si>
    <t xml:space="preserve">보수</t>
  </si>
  <si>
    <r>
      <rPr>
        <sz val="10"/>
        <color rgb="FF0000FF"/>
        <rFont val="Arial"/>
        <family val="0"/>
        <charset val="1"/>
      </rPr>
      <t xml:space="preserve">₩5-10</t>
    </r>
    <r>
      <rPr>
        <sz val="10"/>
        <color rgb="FF0000FF"/>
        <rFont val="PingFang SC"/>
        <family val="2"/>
      </rPr>
      <t xml:space="preserve">억 </t>
    </r>
    <r>
      <rPr>
        <sz val="10"/>
        <color rgb="FF0000FF"/>
        <rFont val="Arial"/>
        <family val="0"/>
        <charset val="1"/>
      </rPr>
      <t xml:space="preserve">(Pre-money ₩40-60</t>
    </r>
    <r>
      <rPr>
        <sz val="10"/>
        <color rgb="FF0000FF"/>
        <rFont val="PingFang SC"/>
        <family val="2"/>
      </rPr>
      <t xml:space="preserve">억</t>
    </r>
    <r>
      <rPr>
        <sz val="10"/>
        <color rgb="FF0000FF"/>
        <rFont val="Arial"/>
        <family val="0"/>
        <charset val="1"/>
      </rPr>
      <t xml:space="preserve">)</t>
    </r>
  </si>
  <si>
    <r>
      <rPr>
        <sz val="10"/>
        <color rgb="FF000000"/>
        <rFont val="Arial"/>
        <family val="0"/>
        <charset val="1"/>
      </rPr>
      <t xml:space="preserve">0-5</t>
    </r>
    <r>
      <rPr>
        <sz val="10"/>
        <color rgb="FF000000"/>
        <rFont val="PingFang SC"/>
        <family val="2"/>
      </rPr>
      <t xml:space="preserve">건 </t>
    </r>
    <r>
      <rPr>
        <sz val="10"/>
        <color rgb="FF000000"/>
        <rFont val="Arial"/>
        <family val="0"/>
        <charset val="1"/>
      </rPr>
      <t xml:space="preserve">(Indie, </t>
    </r>
    <r>
      <rPr>
        <sz val="10"/>
        <color rgb="FF000000"/>
        <rFont val="PingFang SC"/>
        <family val="2"/>
      </rPr>
      <t xml:space="preserve">즉시 가능</t>
    </r>
    <r>
      <rPr>
        <sz val="10"/>
        <color rgb="FF000000"/>
        <rFont val="Arial"/>
        <family val="0"/>
        <charset val="1"/>
      </rPr>
      <t xml:space="preserve">)</t>
    </r>
  </si>
  <si>
    <t xml:space="preserve">리서치+팀 만으로 즉시</t>
  </si>
  <si>
    <t xml:space="preserve">기본 ⭐</t>
  </si>
  <si>
    <r>
      <rPr>
        <b val="true"/>
        <sz val="10"/>
        <color rgb="FF9F402D"/>
        <rFont val="Arial"/>
        <family val="0"/>
        <charset val="1"/>
      </rPr>
      <t xml:space="preserve">₩10-20</t>
    </r>
    <r>
      <rPr>
        <b val="true"/>
        <sz val="10"/>
        <color rgb="FF9F402D"/>
        <rFont val="PingFang SC"/>
        <family val="2"/>
      </rPr>
      <t xml:space="preserve">억 </t>
    </r>
    <r>
      <rPr>
        <b val="true"/>
        <sz val="10"/>
        <color rgb="FF9F402D"/>
        <rFont val="Arial"/>
        <family val="0"/>
        <charset val="1"/>
      </rPr>
      <t xml:space="preserve">(Pre-money ₩80-120</t>
    </r>
    <r>
      <rPr>
        <b val="true"/>
        <sz val="10"/>
        <color rgb="FF9F402D"/>
        <rFont val="PingFang SC"/>
        <family val="2"/>
      </rPr>
      <t xml:space="preserve">억</t>
    </r>
    <r>
      <rPr>
        <b val="true"/>
        <sz val="10"/>
        <color rgb="FF9F402D"/>
        <rFont val="Arial"/>
        <family val="0"/>
        <charset val="1"/>
      </rPr>
      <t xml:space="preserve">)</t>
    </r>
  </si>
  <si>
    <r>
      <rPr>
        <b val="true"/>
        <sz val="10"/>
        <color rgb="FF9F402D"/>
        <rFont val="Arial"/>
        <family val="0"/>
        <charset val="1"/>
      </rPr>
      <t xml:space="preserve">5-10</t>
    </r>
    <r>
      <rPr>
        <b val="true"/>
        <sz val="10"/>
        <color rgb="FF9F402D"/>
        <rFont val="PingFang SC"/>
        <family val="2"/>
      </rPr>
      <t xml:space="preserve">건 </t>
    </r>
    <r>
      <rPr>
        <b val="true"/>
        <sz val="10"/>
        <color rgb="FF9F402D"/>
        <rFont val="Arial"/>
        <family val="0"/>
        <charset val="1"/>
      </rPr>
      <t xml:space="preserve">(Anchor 1-2 + Indie 5-8)</t>
    </r>
  </si>
  <si>
    <r>
      <rPr>
        <b val="true"/>
        <sz val="10"/>
        <color rgb="FF9F402D"/>
        <rFont val="Arial"/>
        <family val="0"/>
        <charset val="1"/>
      </rPr>
      <t xml:space="preserve">3-6</t>
    </r>
    <r>
      <rPr>
        <b val="true"/>
        <sz val="10"/>
        <color rgb="FF9F402D"/>
        <rFont val="PingFang SC"/>
        <family val="2"/>
      </rPr>
      <t xml:space="preserve">개월 영업 후</t>
    </r>
  </si>
  <si>
    <t xml:space="preserve">공격</t>
  </si>
  <si>
    <r>
      <rPr>
        <sz val="10"/>
        <color rgb="FF0000FF"/>
        <rFont val="Arial"/>
        <family val="0"/>
        <charset val="1"/>
      </rPr>
      <t xml:space="preserve">₩20-30</t>
    </r>
    <r>
      <rPr>
        <sz val="10"/>
        <color rgb="FF0000FF"/>
        <rFont val="PingFang SC"/>
        <family val="2"/>
      </rPr>
      <t xml:space="preserve">억 </t>
    </r>
    <r>
      <rPr>
        <sz val="10"/>
        <color rgb="FF0000FF"/>
        <rFont val="Arial"/>
        <family val="0"/>
        <charset val="1"/>
      </rPr>
      <t xml:space="preserve">(Pre-money ₩130-180</t>
    </r>
    <r>
      <rPr>
        <sz val="10"/>
        <color rgb="FF0000FF"/>
        <rFont val="PingFang SC"/>
        <family val="2"/>
      </rPr>
      <t xml:space="preserve">억</t>
    </r>
    <r>
      <rPr>
        <sz val="10"/>
        <color rgb="FF0000FF"/>
        <rFont val="Arial"/>
        <family val="0"/>
        <charset val="1"/>
      </rPr>
      <t xml:space="preserve">)</t>
    </r>
  </si>
  <si>
    <r>
      <rPr>
        <sz val="10"/>
        <color rgb="FF000000"/>
        <rFont val="Arial"/>
        <family val="0"/>
        <charset val="1"/>
      </rPr>
      <t xml:space="preserve">20-30</t>
    </r>
    <r>
      <rPr>
        <sz val="10"/>
        <color rgb="FF000000"/>
        <rFont val="PingFang SC"/>
        <family val="2"/>
      </rPr>
      <t xml:space="preserve">건 </t>
    </r>
    <r>
      <rPr>
        <sz val="10"/>
        <color rgb="FF000000"/>
        <rFont val="Arial"/>
        <family val="0"/>
        <charset val="1"/>
      </rPr>
      <t xml:space="preserve">(Anchor 3-5 + Indie 15-25)</t>
    </r>
  </si>
  <si>
    <r>
      <rPr>
        <sz val="10"/>
        <color rgb="FF000000"/>
        <rFont val="Arial"/>
        <family val="0"/>
        <charset val="1"/>
      </rPr>
      <t xml:space="preserve">9-12</t>
    </r>
    <r>
      <rPr>
        <sz val="10"/>
        <color rgb="FF000000"/>
        <rFont val="PingFang SC"/>
        <family val="2"/>
      </rPr>
      <t xml:space="preserve">개월 영업 후</t>
    </r>
  </si>
  <si>
    <r>
      <rPr>
        <b val="true"/>
        <sz val="11"/>
        <color rgb="FF9F402D"/>
        <rFont val="Arial"/>
        <family val="0"/>
        <charset val="1"/>
      </rPr>
      <t xml:space="preserve">2. Use of Funds — Base ₩15</t>
    </r>
    <r>
      <rPr>
        <b val="true"/>
        <sz val="11"/>
        <color rgb="FF9F402D"/>
        <rFont val="PingFang SC"/>
        <family val="2"/>
      </rPr>
      <t xml:space="preserve">억 시나리오 </t>
    </r>
    <r>
      <rPr>
        <b val="true"/>
        <sz val="11"/>
        <color rgb="FF9F402D"/>
        <rFont val="Arial"/>
        <family val="0"/>
        <charset val="1"/>
      </rPr>
      <t xml:space="preserve">(IR Pitch v3 Slide 14 </t>
    </r>
    <r>
      <rPr>
        <b val="true"/>
        <sz val="11"/>
        <color rgb="FF9F402D"/>
        <rFont val="PingFang SC"/>
        <family val="2"/>
      </rPr>
      <t xml:space="preserve">정합</t>
    </r>
    <r>
      <rPr>
        <b val="true"/>
        <sz val="11"/>
        <color rgb="FF9F402D"/>
        <rFont val="Arial"/>
        <family val="0"/>
        <charset val="1"/>
      </rPr>
      <t xml:space="preserve">)</t>
    </r>
  </si>
  <si>
    <t xml:space="preserve">Category</t>
  </si>
  <si>
    <t xml:space="preserve">비중 (%)</t>
  </si>
  <si>
    <t xml:space="preserve">금액 (KRW)</t>
  </si>
  <si>
    <t xml:space="preserve">용도</t>
  </si>
  <si>
    <t xml:space="preserve">마케팅·셀러 영업</t>
  </si>
  <si>
    <t xml:space="preserve">UAE Anchor LOI 영업 + 라마단·DSF·White Friday 캠페인 (Marketing % Y1=12%)</t>
  </si>
  <si>
    <t xml:space="preserve">UAE 진출·법인·인증</t>
  </si>
  <si>
    <r>
      <rPr>
        <sz val="10"/>
        <color rgb="FF56423E"/>
        <rFont val="Arial"/>
        <family val="0"/>
        <charset val="1"/>
      </rPr>
      <t xml:space="preserve">UAE Phase 1.5 Free Zone </t>
    </r>
    <r>
      <rPr>
        <sz val="10"/>
        <color rgb="FF56423E"/>
        <rFont val="PingFang SC"/>
        <family val="2"/>
      </rPr>
      <t xml:space="preserve">설립</t>
    </r>
    <r>
      <rPr>
        <sz val="10"/>
        <color rgb="FF56423E"/>
        <rFont val="Arial"/>
        <family val="0"/>
        <charset val="1"/>
      </rPr>
      <t xml:space="preserve">·MoIAT/ECAS·</t>
    </r>
    <r>
      <rPr>
        <sz val="10"/>
        <color rgb="FF56423E"/>
        <rFont val="PingFang SC"/>
        <family val="2"/>
      </rPr>
      <t xml:space="preserve">아랍어 라벨</t>
    </r>
    <r>
      <rPr>
        <sz val="10"/>
        <color rgb="FF56423E"/>
        <rFont val="Arial"/>
        <family val="0"/>
        <charset val="1"/>
      </rPr>
      <t xml:space="preserve">·KOTRA Dubai</t>
    </r>
  </si>
  <si>
    <t xml:space="preserve">인력 보강 (정부지원 외)</t>
  </si>
  <si>
    <r>
      <rPr>
        <sz val="10"/>
        <color rgb="FF56423E"/>
        <rFont val="Arial"/>
        <family val="0"/>
        <charset val="1"/>
      </rPr>
      <t xml:space="preserve">CFO·UAE GM (</t>
    </r>
    <r>
      <rPr>
        <sz val="10"/>
        <color rgb="FF56423E"/>
        <rFont val="PingFang SC"/>
        <family val="2"/>
      </rPr>
      <t xml:space="preserve">청년일자리</t>
    </r>
    <r>
      <rPr>
        <sz val="10"/>
        <color rgb="FF56423E"/>
        <rFont val="Arial"/>
        <family val="0"/>
        <charset val="1"/>
      </rPr>
      <t xml:space="preserve">·</t>
    </r>
    <r>
      <rPr>
        <sz val="10"/>
        <color rgb="FF56423E"/>
        <rFont val="PingFang SC"/>
        <family val="2"/>
      </rPr>
      <t xml:space="preserve">청년창업사관학교 외 </t>
    </r>
    <r>
      <rPr>
        <sz val="10"/>
        <color rgb="FF56423E"/>
        <rFont val="Arial"/>
        <family val="0"/>
        <charset val="1"/>
      </rPr>
      <t xml:space="preserve">staff)</t>
    </r>
  </si>
  <si>
    <t xml:space="preserve">기술 인프라 (정부지원 외)</t>
  </si>
  <si>
    <r>
      <rPr>
        <sz val="10"/>
        <color rgb="FF56423E"/>
        <rFont val="Arial"/>
        <family val="0"/>
        <charset val="1"/>
      </rPr>
      <t xml:space="preserve">UAE </t>
    </r>
    <r>
      <rPr>
        <sz val="10"/>
        <color rgb="FF56423E"/>
        <rFont val="PingFang SC"/>
        <family val="2"/>
      </rPr>
      <t xml:space="preserve">결제 인프라</t>
    </r>
    <r>
      <rPr>
        <sz val="10"/>
        <color rgb="FF56423E"/>
        <rFont val="Arial"/>
        <family val="0"/>
        <charset val="1"/>
      </rPr>
      <t xml:space="preserve">·BNPL·Phase 2 </t>
    </r>
    <r>
      <rPr>
        <sz val="10"/>
        <color rgb="FF56423E"/>
        <rFont val="PingFang SC"/>
        <family val="2"/>
      </rPr>
      <t xml:space="preserve">마이그레이션 </t>
    </r>
    <r>
      <rPr>
        <sz val="10"/>
        <color rgb="FF56423E"/>
        <rFont val="Arial"/>
        <family val="0"/>
        <charset val="1"/>
      </rPr>
      <t xml:space="preserve">(R&amp;D </t>
    </r>
    <r>
      <rPr>
        <sz val="10"/>
        <color rgb="FF56423E"/>
        <rFont val="PingFang SC"/>
        <family val="2"/>
      </rPr>
      <t xml:space="preserve">디딤돌 외</t>
    </r>
    <r>
      <rPr>
        <sz val="10"/>
        <color rgb="FF56423E"/>
        <rFont val="Arial"/>
        <family val="0"/>
        <charset val="1"/>
      </rPr>
      <t xml:space="preserve">)</t>
    </r>
  </si>
  <si>
    <t xml:space="preserve">예비비 (24-30개월 런웨이)</t>
  </si>
  <si>
    <r>
      <rPr>
        <sz val="10"/>
        <color rgb="FF56423E"/>
        <rFont val="Arial"/>
        <family val="0"/>
        <charset val="1"/>
      </rPr>
      <t xml:space="preserve">UAE </t>
    </r>
    <r>
      <rPr>
        <sz val="10"/>
        <color rgb="FF56423E"/>
        <rFont val="PingFang SC"/>
        <family val="2"/>
      </rPr>
      <t xml:space="preserve">진출 변동</t>
    </r>
    <r>
      <rPr>
        <sz val="10"/>
        <color rgb="FF56423E"/>
        <rFont val="Arial"/>
        <family val="0"/>
        <charset val="1"/>
      </rPr>
      <t xml:space="preserve">·</t>
    </r>
    <r>
      <rPr>
        <sz val="10"/>
        <color rgb="FF56423E"/>
        <rFont val="PingFang SC"/>
        <family val="2"/>
      </rPr>
      <t xml:space="preserve">환차 헤지</t>
    </r>
    <r>
      <rPr>
        <sz val="10"/>
        <color rgb="FF56423E"/>
        <rFont val="Arial"/>
        <family val="0"/>
        <charset val="1"/>
      </rPr>
      <t xml:space="preserve">·M&amp;A </t>
    </r>
    <r>
      <rPr>
        <sz val="10"/>
        <color rgb="FF56423E"/>
        <rFont val="PingFang SC"/>
        <family val="2"/>
      </rPr>
      <t xml:space="preserve">옵션</t>
    </r>
  </si>
  <si>
    <t xml:space="preserve">법무·관세·자문 (정부지원 외)</t>
  </si>
  <si>
    <t xml:space="preserve">UAE PDPL·법인 변호사·관세사 retainer</t>
  </si>
  <si>
    <r>
      <rPr>
        <b val="true"/>
        <sz val="10"/>
        <rFont val="Arial"/>
        <family val="0"/>
        <charset val="1"/>
      </rPr>
      <t xml:space="preserve">Total (</t>
    </r>
    <r>
      <rPr>
        <b val="true"/>
        <sz val="10"/>
        <rFont val="PingFang SC"/>
        <family val="2"/>
      </rPr>
      <t xml:space="preserve">검증</t>
    </r>
    <r>
      <rPr>
        <b val="true"/>
        <sz val="10"/>
        <rFont val="Arial"/>
        <family val="0"/>
        <charset val="1"/>
      </rPr>
      <t xml:space="preserve">)</t>
    </r>
  </si>
  <si>
    <t xml:space="preserve">⚠️ 런웨이 = Inflow Midpoint ÷ IR scaled burn (BEP_Runway!G18 = ₩70M/mo). Use of Funds 비중 IR Pitch v3 Slide 14 정합 (2차 재사이즈).</t>
  </si>
  <si>
    <r>
      <rPr>
        <b val="true"/>
        <sz val="11"/>
        <color rgb="FF9F402D"/>
        <rFont val="Arial"/>
        <family val="0"/>
        <charset val="1"/>
      </rPr>
      <t xml:space="preserve">3. </t>
    </r>
    <r>
      <rPr>
        <b val="true"/>
        <sz val="11"/>
        <color rgb="FF9F402D"/>
        <rFont val="PingFang SC"/>
        <family val="2"/>
      </rPr>
      <t xml:space="preserve">정부지원 별도 ₩</t>
    </r>
    <r>
      <rPr>
        <b val="true"/>
        <sz val="11"/>
        <color rgb="FF9F402D"/>
        <rFont val="Arial"/>
        <family val="0"/>
        <charset val="1"/>
      </rPr>
      <t xml:space="preserve">25-40</t>
    </r>
    <r>
      <rPr>
        <b val="true"/>
        <sz val="11"/>
        <color rgb="FF9F402D"/>
        <rFont val="PingFang SC"/>
        <family val="2"/>
      </rPr>
      <t xml:space="preserve">억 </t>
    </r>
    <r>
      <rPr>
        <b val="true"/>
        <sz val="11"/>
        <color rgb="FF9F402D"/>
        <rFont val="Arial"/>
        <family val="0"/>
        <charset val="1"/>
      </rPr>
      <t xml:space="preserve">(Assumptions §9 </t>
    </r>
    <r>
      <rPr>
        <b val="true"/>
        <sz val="11"/>
        <color rgb="FF9F402D"/>
        <rFont val="PingFang SC"/>
        <family val="2"/>
      </rPr>
      <t xml:space="preserve">전 프로그램</t>
    </r>
    <r>
      <rPr>
        <b val="true"/>
        <sz val="11"/>
        <color rgb="FF9F402D"/>
        <rFont val="Arial"/>
        <family val="0"/>
        <charset val="1"/>
      </rPr>
      <t xml:space="preserve">, GOV_FUNDING_STRATEGY </t>
    </r>
    <r>
      <rPr>
        <b val="true"/>
        <sz val="11"/>
        <color rgb="FF9F402D"/>
        <rFont val="PingFang SC"/>
        <family val="2"/>
      </rPr>
      <t xml:space="preserve">매핑</t>
    </r>
    <r>
      <rPr>
        <b val="true"/>
        <sz val="11"/>
        <color rgb="FF9F402D"/>
        <rFont val="Arial"/>
        <family val="0"/>
        <charset val="1"/>
      </rPr>
      <t xml:space="preserve">)</t>
    </r>
  </si>
  <si>
    <t xml:space="preserve">프로그램 수</t>
  </si>
  <si>
    <r>
      <rPr>
        <b val="true"/>
        <sz val="10"/>
        <color rgb="FFFFFFFF"/>
        <rFont val="PingFang SC"/>
        <family val="2"/>
      </rPr>
      <t xml:space="preserve">합계 </t>
    </r>
    <r>
      <rPr>
        <b val="true"/>
        <sz val="10"/>
        <color rgb="FFFFFFFF"/>
        <rFont val="Arial"/>
        <family val="0"/>
        <charset val="1"/>
      </rPr>
      <t xml:space="preserve">(KRW)</t>
    </r>
  </si>
  <si>
    <t xml:space="preserve">비고</t>
  </si>
  <si>
    <t xml:space="preserve">Phase 0 (M-3~M0)</t>
  </si>
  <si>
    <r>
      <rPr>
        <sz val="11"/>
        <color theme="1"/>
        <rFont val="PingFang SC"/>
        <family val="2"/>
      </rPr>
      <t xml:space="preserve">정식 오픈 前 신청 </t>
    </r>
    <r>
      <rPr>
        <sz val="11"/>
        <color theme="1"/>
        <rFont val="Calibri"/>
        <family val="2"/>
        <charset val="1"/>
      </rPr>
      <t xml:space="preserve">(</t>
    </r>
    <r>
      <rPr>
        <sz val="11"/>
        <color theme="1"/>
        <rFont val="PingFang SC"/>
        <family val="2"/>
      </rPr>
      <t xml:space="preserve">예비창업</t>
    </r>
    <r>
      <rPr>
        <sz val="11"/>
        <color theme="1"/>
        <rFont val="Calibri"/>
        <family val="2"/>
        <charset val="1"/>
      </rPr>
      <t xml:space="preserve">·K-Startup·KIDP·</t>
    </r>
    <r>
      <rPr>
        <sz val="11"/>
        <color theme="1"/>
        <rFont val="PingFang SC"/>
        <family val="2"/>
      </rPr>
      <t xml:space="preserve">창업맞춤</t>
    </r>
    <r>
      <rPr>
        <sz val="11"/>
        <color theme="1"/>
        <rFont val="Calibri"/>
        <family val="2"/>
        <charset val="1"/>
      </rPr>
      <t xml:space="preserve">)</t>
    </r>
  </si>
  <si>
    <t xml:space="preserve">Phase 1 (M1-M12)</t>
  </si>
  <si>
    <r>
      <rPr>
        <sz val="11"/>
        <color theme="1"/>
        <rFont val="PingFang SC"/>
        <family val="2"/>
      </rPr>
      <t xml:space="preserve">초기창업</t>
    </r>
    <r>
      <rPr>
        <sz val="11"/>
        <color theme="1"/>
        <rFont val="Calibri"/>
        <family val="2"/>
        <charset val="1"/>
      </rPr>
      <t xml:space="preserve">·</t>
    </r>
    <r>
      <rPr>
        <sz val="11"/>
        <color theme="1"/>
        <rFont val="PingFang SC"/>
        <family val="2"/>
      </rPr>
      <t xml:space="preserve">청년창업사관</t>
    </r>
    <r>
      <rPr>
        <sz val="11"/>
        <color theme="1"/>
        <rFont val="Calibri"/>
        <family val="2"/>
        <charset val="1"/>
      </rPr>
      <t xml:space="preserve">·R&amp;D·</t>
    </r>
    <r>
      <rPr>
        <sz val="11"/>
        <color theme="1"/>
        <rFont val="PingFang SC"/>
        <family val="2"/>
      </rPr>
      <t xml:space="preserve">수출바우처</t>
    </r>
    <r>
      <rPr>
        <sz val="11"/>
        <color theme="1"/>
        <rFont val="Calibri"/>
        <family val="2"/>
        <charset val="1"/>
      </rPr>
      <t xml:space="preserve">·KOTRA GP·</t>
    </r>
    <r>
      <rPr>
        <sz val="11"/>
        <color theme="1"/>
        <rFont val="PingFang SC"/>
        <family val="2"/>
      </rPr>
      <t xml:space="preserve">콘텐츠</t>
    </r>
    <r>
      <rPr>
        <sz val="11"/>
        <color theme="1"/>
        <rFont val="Calibri"/>
        <family val="2"/>
        <charset val="1"/>
      </rPr>
      <t xml:space="preserve">·</t>
    </r>
    <r>
      <rPr>
        <sz val="11"/>
        <color theme="1"/>
        <rFont val="PingFang SC"/>
        <family val="2"/>
      </rPr>
      <t xml:space="preserve">청년일자리</t>
    </r>
    <r>
      <rPr>
        <sz val="11"/>
        <color theme="1"/>
        <rFont val="Calibri"/>
        <family val="2"/>
        <charset val="1"/>
      </rPr>
      <t xml:space="preserve">·SBA·</t>
    </r>
    <r>
      <rPr>
        <sz val="11"/>
        <color theme="1"/>
        <rFont val="PingFang SC"/>
        <family val="2"/>
      </rPr>
      <t xml:space="preserve">글로벌강소기업 등</t>
    </r>
  </si>
  <si>
    <t xml:space="preserve">Phase 1.5+ (M13+)</t>
  </si>
  <si>
    <r>
      <rPr>
        <sz val="11"/>
        <color theme="1"/>
        <rFont val="Calibri"/>
        <family val="2"/>
        <charset val="1"/>
      </rPr>
      <t xml:space="preserve">TIPS·K-</t>
    </r>
    <r>
      <rPr>
        <sz val="11"/>
        <color theme="1"/>
        <rFont val="PingFang SC"/>
        <family val="2"/>
      </rPr>
      <t xml:space="preserve">스타트업 본선</t>
    </r>
    <r>
      <rPr>
        <sz val="11"/>
        <color theme="1"/>
        <rFont val="Calibri"/>
        <family val="2"/>
        <charset val="1"/>
      </rPr>
      <t xml:space="preserve">·</t>
    </r>
    <r>
      <rPr>
        <sz val="11"/>
        <color theme="1"/>
        <rFont val="PingFang SC"/>
        <family val="2"/>
      </rPr>
      <t xml:space="preserve">글로벌 진출 </t>
    </r>
    <r>
      <rPr>
        <sz val="11"/>
        <color theme="1"/>
        <rFont val="Calibri"/>
        <family val="2"/>
        <charset val="1"/>
      </rPr>
      <t xml:space="preserve">R&amp;D·</t>
    </r>
    <r>
      <rPr>
        <sz val="11"/>
        <color theme="1"/>
        <rFont val="PingFang SC"/>
        <family val="2"/>
      </rPr>
      <t xml:space="preserve">창업도약 </t>
    </r>
    <r>
      <rPr>
        <sz val="11"/>
        <color theme="1"/>
        <rFont val="Calibri"/>
        <family val="2"/>
        <charset val="1"/>
      </rPr>
      <t xml:space="preserve">(</t>
    </r>
    <r>
      <rPr>
        <sz val="11"/>
        <color theme="1"/>
        <rFont val="PingFang SC"/>
        <family val="2"/>
      </rPr>
      <t xml:space="preserve">조건부</t>
    </r>
    <r>
      <rPr>
        <sz val="11"/>
        <color theme="1"/>
        <rFont val="Calibri"/>
        <family val="2"/>
        <charset val="1"/>
      </rPr>
      <t xml:space="preserve">)</t>
    </r>
  </si>
  <si>
    <t xml:space="preserve">소계 — 자본성</t>
  </si>
  <si>
    <t xml:space="preserve">보증·대출 (별도)</t>
  </si>
  <si>
    <r>
      <rPr>
        <sz val="11"/>
        <color theme="1"/>
        <rFont val="PingFang SC"/>
        <family val="2"/>
      </rPr>
      <t xml:space="preserve">기술보증</t>
    </r>
    <r>
      <rPr>
        <sz val="11"/>
        <color theme="1"/>
        <rFont val="Calibri"/>
        <family val="2"/>
        <charset val="1"/>
      </rPr>
      <t xml:space="preserve">·</t>
    </r>
    <r>
      <rPr>
        <sz val="11"/>
        <color theme="1"/>
        <rFont val="PingFang SC"/>
        <family val="2"/>
      </rPr>
      <t xml:space="preserve">신용보증</t>
    </r>
    <r>
      <rPr>
        <sz val="11"/>
        <color theme="1"/>
        <rFont val="Calibri"/>
        <family val="2"/>
        <charset val="1"/>
      </rPr>
      <t xml:space="preserve">·</t>
    </r>
    <r>
      <rPr>
        <sz val="11"/>
        <color theme="1"/>
        <rFont val="PingFang SC"/>
        <family val="2"/>
      </rPr>
      <t xml:space="preserve">창업기업 운영자금 </t>
    </r>
    <r>
      <rPr>
        <sz val="11"/>
        <color theme="1"/>
        <rFont val="Calibri"/>
        <family val="2"/>
        <charset val="1"/>
      </rPr>
      <t xml:space="preserve">(</t>
    </r>
    <r>
      <rPr>
        <sz val="11"/>
        <color theme="1"/>
        <rFont val="PingFang SC"/>
        <family val="2"/>
      </rPr>
      <t xml:space="preserve">저리</t>
    </r>
    <r>
      <rPr>
        <sz val="11"/>
        <color theme="1"/>
        <rFont val="Calibri"/>
        <family val="2"/>
        <charset val="1"/>
      </rPr>
      <t xml:space="preserve">, </t>
    </r>
    <r>
      <rPr>
        <sz val="11"/>
        <color theme="1"/>
        <rFont val="PingFang SC"/>
        <family val="2"/>
      </rPr>
      <t xml:space="preserve">자본 아님</t>
    </r>
    <r>
      <rPr>
        <sz val="11"/>
        <color theme="1"/>
        <rFont val="Calibri"/>
        <family val="2"/>
        <charset val="1"/>
      </rPr>
      <t xml:space="preserve">)</t>
    </r>
  </si>
  <si>
    <r>
      <rPr>
        <i val="true"/>
        <sz val="11"/>
        <color rgb="FF8B5A2B"/>
        <rFont val="PingFang SC"/>
        <family val="2"/>
      </rPr>
      <t xml:space="preserve">⚠️ 자본성 ₩</t>
    </r>
    <r>
      <rPr>
        <i val="true"/>
        <sz val="11"/>
        <color rgb="FF8B5A2B"/>
        <rFont val="Arial"/>
        <family val="0"/>
        <charset val="1"/>
      </rPr>
      <t xml:space="preserve">23-37</t>
    </r>
    <r>
      <rPr>
        <i val="true"/>
        <sz val="11"/>
        <color rgb="FF8B5A2B"/>
        <rFont val="PingFang SC"/>
        <family val="2"/>
      </rPr>
      <t xml:space="preserve">억 </t>
    </r>
    <r>
      <rPr>
        <i val="true"/>
        <sz val="11"/>
        <color rgb="FF8B5A2B"/>
        <rFont val="Arial"/>
        <family val="0"/>
        <charset val="1"/>
      </rPr>
      <t xml:space="preserve">(Base) — Assumptions §9 </t>
    </r>
    <r>
      <rPr>
        <i val="true"/>
        <sz val="11"/>
        <color rgb="FF8B5A2B"/>
        <rFont val="PingFang SC"/>
        <family val="2"/>
      </rPr>
      <t xml:space="preserve">전 </t>
    </r>
    <r>
      <rPr>
        <i val="true"/>
        <sz val="11"/>
        <color rgb="FF8B5A2B"/>
        <rFont val="Arial"/>
        <family val="0"/>
        <charset val="1"/>
      </rPr>
      <t xml:space="preserve">22 </t>
    </r>
    <r>
      <rPr>
        <i val="true"/>
        <sz val="11"/>
        <color rgb="FF8B5A2B"/>
        <rFont val="PingFang SC"/>
        <family val="2"/>
      </rPr>
      <t xml:space="preserve">프로그램 매핑</t>
    </r>
  </si>
  <si>
    <r>
      <rPr>
        <i val="true"/>
        <sz val="9"/>
        <color rgb="FF666666"/>
        <rFont val="PingFang SC"/>
        <family val="2"/>
      </rPr>
      <t xml:space="preserve">   조건부 </t>
    </r>
    <r>
      <rPr>
        <i val="true"/>
        <sz val="9"/>
        <color rgb="FF666666"/>
        <rFont val="Arial"/>
        <family val="0"/>
        <charset val="1"/>
      </rPr>
      <t xml:space="preserve">(TIPS·K-</t>
    </r>
    <r>
      <rPr>
        <i val="true"/>
        <sz val="9"/>
        <color rgb="FF666666"/>
        <rFont val="PingFang SC"/>
        <family val="2"/>
      </rPr>
      <t xml:space="preserve">스타트업 본선</t>
    </r>
    <r>
      <rPr>
        <i val="true"/>
        <sz val="9"/>
        <color rgb="FF666666"/>
        <rFont val="Arial"/>
        <family val="0"/>
        <charset val="1"/>
      </rPr>
      <t xml:space="preserve">·</t>
    </r>
    <r>
      <rPr>
        <i val="true"/>
        <sz val="9"/>
        <color rgb="FF666666"/>
        <rFont val="PingFang SC"/>
        <family val="2"/>
      </rPr>
      <t xml:space="preserve">글로벌 </t>
    </r>
    <r>
      <rPr>
        <i val="true"/>
        <sz val="9"/>
        <color rgb="FF666666"/>
        <rFont val="Arial"/>
        <family val="0"/>
        <charset val="1"/>
      </rPr>
      <t xml:space="preserve">R&amp;D) </t>
    </r>
    <r>
      <rPr>
        <i val="true"/>
        <sz val="9"/>
        <color rgb="FF666666"/>
        <rFont val="PingFang SC"/>
        <family val="2"/>
      </rPr>
      <t xml:space="preserve">통과 가정</t>
    </r>
    <r>
      <rPr>
        <i val="true"/>
        <sz val="9"/>
        <color rgb="FF666666"/>
        <rFont val="Arial"/>
        <family val="0"/>
        <charset val="1"/>
      </rPr>
      <t xml:space="preserve">. </t>
    </r>
    <r>
      <rPr>
        <i val="true"/>
        <sz val="9"/>
        <color rgb="FF666666"/>
        <rFont val="PingFang SC"/>
        <family val="2"/>
      </rPr>
      <t xml:space="preserve">미통과 시 </t>
    </r>
    <r>
      <rPr>
        <i val="true"/>
        <sz val="9"/>
        <color rgb="FF666666"/>
        <rFont val="Arial"/>
        <family val="0"/>
        <charset val="1"/>
      </rPr>
      <t xml:space="preserve">Assumptions §9 </t>
    </r>
    <r>
      <rPr>
        <i val="true"/>
        <sz val="9"/>
        <color rgb="FF666666"/>
        <rFont val="PingFang SC"/>
        <family val="2"/>
      </rPr>
      <t xml:space="preserve">해당 행 </t>
    </r>
    <r>
      <rPr>
        <i val="true"/>
        <sz val="9"/>
        <color rgb="FF666666"/>
        <rFont val="Arial"/>
        <family val="0"/>
        <charset val="1"/>
      </rPr>
      <t xml:space="preserve">B </t>
    </r>
    <r>
      <rPr>
        <i val="true"/>
        <sz val="9"/>
        <color rgb="FF666666"/>
        <rFont val="PingFang SC"/>
        <family val="2"/>
      </rPr>
      <t xml:space="preserve">값을 </t>
    </r>
    <r>
      <rPr>
        <i val="true"/>
        <sz val="9"/>
        <color rgb="FF666666"/>
        <rFont val="Arial"/>
        <family val="0"/>
        <charset val="1"/>
      </rPr>
      <t xml:space="preserve">0 </t>
    </r>
    <r>
      <rPr>
        <i val="true"/>
        <sz val="9"/>
        <color rgb="FF666666"/>
        <rFont val="PingFang SC"/>
        <family val="2"/>
      </rPr>
      <t xml:space="preserve">으로 변경</t>
    </r>
    <r>
      <rPr>
        <i val="true"/>
        <sz val="9"/>
        <color rgb="FF666666"/>
        <rFont val="Arial"/>
        <family val="0"/>
        <charset val="1"/>
      </rPr>
      <t xml:space="preserve">.</t>
    </r>
  </si>
  <si>
    <t xml:space="preserve">🎯 TIPS Scenario — TIPS 통과 vs 미통과 시나리오 비교
[원본 제목: TIPS (민간투자주도형 기술창업지원) 통과 vs 미통과 시나리오 비교]
목적: TIPS 8억원 통과 가정이 깨질 경우 런웨이·M36 현금에 미치는 영향 정량화. TIPS 의존도 risk 평가.
얻을 수 있는 정보: TIPS 통과 시 vs 미통과 시 M36 기말 현금·런웨이 차이 · TIPS 미통과 시 대체 자금 조달 시점.
보는 법: ⚠️ TIPS = 운영사 추천 + Pre-A VC 매칭(₩2억) 필수 = 확정 아님. Assumptions B47(toggle: 1=통과, 0=미통과) 변경 시 CashFlow 즉시 재계산. 미통과 시나리오에서 M36 현금이 음수면 = 대체 자금 조달 필수 신호.</t>
  </si>
  <si>
    <r>
      <rPr>
        <b val="true"/>
        <sz val="11"/>
        <color rgb="FF9F402D"/>
        <rFont val="Arial"/>
        <family val="0"/>
        <charset val="1"/>
      </rPr>
      <t xml:space="preserve">⚠️ TIPS = </t>
    </r>
    <r>
      <rPr>
        <b val="true"/>
        <sz val="11"/>
        <color rgb="FF9F402D"/>
        <rFont val="PingFang SC"/>
        <family val="2"/>
      </rPr>
      <t xml:space="preserve">운영사 추천 </t>
    </r>
    <r>
      <rPr>
        <b val="true"/>
        <sz val="11"/>
        <color rgb="FF9F402D"/>
        <rFont val="Arial"/>
        <family val="0"/>
        <charset val="1"/>
      </rPr>
      <t xml:space="preserve">+ Pre-A VC </t>
    </r>
    <r>
      <rPr>
        <b val="true"/>
        <sz val="11"/>
        <color rgb="FF9F402D"/>
        <rFont val="PingFang SC"/>
        <family val="2"/>
      </rPr>
      <t xml:space="preserve">매칭 필요 </t>
    </r>
    <r>
      <rPr>
        <b val="true"/>
        <sz val="11"/>
        <color rgb="FF9F402D"/>
        <rFont val="Arial"/>
        <family val="0"/>
        <charset val="1"/>
      </rPr>
      <t xml:space="preserve">(</t>
    </r>
    <r>
      <rPr>
        <b val="true"/>
        <sz val="11"/>
        <color rgb="FF9F402D"/>
        <rFont val="PingFang SC"/>
        <family val="2"/>
      </rPr>
      <t xml:space="preserve">확정 신청 </t>
    </r>
    <r>
      <rPr>
        <b val="true"/>
        <sz val="11"/>
        <color rgb="FF9F402D"/>
        <rFont val="Arial"/>
        <family val="0"/>
        <charset val="1"/>
      </rPr>
      <t xml:space="preserve">X)</t>
    </r>
  </si>
  <si>
    <t xml:space="preserve">실패 시 런웨이·M36 현금에 미치는 영향을 별도 시뮬레이션</t>
  </si>
  <si>
    <t xml:space="preserve">지표</t>
  </si>
  <si>
    <t xml:space="preserve">시나리오 A: TIPS 통과</t>
  </si>
  <si>
    <t xml:space="preserve">시나리오 B: TIPS 미통과</t>
  </si>
  <si>
    <t xml:space="preserve">차이 (B-A)</t>
  </si>
  <si>
    <r>
      <rPr>
        <sz val="10"/>
        <color rgb="FF000000"/>
        <rFont val="Arial"/>
        <family val="0"/>
        <charset val="1"/>
      </rPr>
      <t xml:space="preserve">Pre-A (Pre-Series A) Inflow (M3) — </t>
    </r>
    <r>
      <rPr>
        <sz val="10"/>
        <color rgb="FF000000"/>
        <rFont val="PingFang SC"/>
        <family val="2"/>
      </rPr>
      <t xml:space="preserve">유입</t>
    </r>
  </si>
  <si>
    <r>
      <rPr>
        <i val="true"/>
        <sz val="9"/>
        <rFont val="Arial"/>
        <family val="0"/>
        <charset val="1"/>
      </rPr>
      <t xml:space="preserve">Pre-A </t>
    </r>
    <r>
      <rPr>
        <i val="true"/>
        <sz val="9"/>
        <rFont val="PingFang SC"/>
        <family val="2"/>
      </rPr>
      <t xml:space="preserve">동일</t>
    </r>
  </si>
  <si>
    <t xml:space="preserve">TIPS Inflow (M12)</t>
  </si>
  <si>
    <r>
      <rPr>
        <i val="true"/>
        <sz val="9"/>
        <color rgb="FFC27A1E"/>
        <rFont val="Arial"/>
        <family val="0"/>
        <charset val="1"/>
      </rPr>
      <t xml:space="preserve">B </t>
    </r>
    <r>
      <rPr>
        <i val="true"/>
        <sz val="9"/>
        <color rgb="FFC27A1E"/>
        <rFont val="PingFang SC"/>
        <family val="2"/>
      </rPr>
      <t xml:space="preserve">시나리오는 </t>
    </r>
    <r>
      <rPr>
        <i val="true"/>
        <sz val="9"/>
        <color rgb="FFC27A1E"/>
        <rFont val="Arial"/>
        <family val="0"/>
        <charset val="1"/>
      </rPr>
      <t xml:space="preserve">0</t>
    </r>
  </si>
  <si>
    <t xml:space="preserve">정부지원 누계 (TIPS 외) — KIDP·SBA·예비창업·초기창업·수출바우처</t>
  </si>
  <si>
    <t xml:space="preserve">확정 신청분</t>
  </si>
  <si>
    <t xml:space="preserve">정부지원 합계</t>
  </si>
  <si>
    <t xml:space="preserve">총 Inflow (Pre-A + 정부지원)</t>
  </si>
  <si>
    <r>
      <rPr>
        <sz val="10"/>
        <color rgb="FF000000"/>
        <rFont val="Arial"/>
        <family val="0"/>
        <charset val="1"/>
      </rPr>
      <t xml:space="preserve">Y3 </t>
    </r>
    <r>
      <rPr>
        <sz val="10"/>
        <color rgb="FF000000"/>
        <rFont val="PingFang SC"/>
        <family val="2"/>
      </rPr>
      <t xml:space="preserve">누적 </t>
    </r>
    <r>
      <rPr>
        <sz val="10"/>
        <color rgb="FF000000"/>
        <rFont val="Arial"/>
        <family val="0"/>
        <charset val="1"/>
      </rPr>
      <t xml:space="preserve">Operating Loss · </t>
    </r>
    <r>
      <rPr>
        <sz val="10"/>
        <color rgb="FF000000"/>
        <rFont val="PingFang SC"/>
        <family val="2"/>
      </rPr>
      <t xml:space="preserve">영업손실 </t>
    </r>
    <r>
      <rPr>
        <sz val="10"/>
        <color rgb="FF000000"/>
        <rFont val="Arial"/>
        <family val="0"/>
        <charset val="1"/>
      </rPr>
      <t xml:space="preserve">(</t>
    </r>
    <r>
      <rPr>
        <sz val="10"/>
        <color rgb="FF000000"/>
        <rFont val="PingFang SC"/>
        <family val="2"/>
      </rPr>
      <t xml:space="preserve">시뮬</t>
    </r>
    <r>
      <rPr>
        <sz val="10"/>
        <color rgb="FF000000"/>
        <rFont val="Arial"/>
        <family val="0"/>
        <charset val="1"/>
      </rPr>
      <t xml:space="preserve">)</t>
    </r>
  </si>
  <si>
    <r>
      <rPr>
        <sz val="10"/>
        <color rgb="FF000000"/>
        <rFont val="Arial"/>
        <family val="0"/>
        <charset val="1"/>
      </rPr>
      <t xml:space="preserve">M36 Ending Cash — </t>
    </r>
    <r>
      <rPr>
        <sz val="10"/>
        <color rgb="FF000000"/>
        <rFont val="PingFang SC"/>
        <family val="2"/>
      </rPr>
      <t xml:space="preserve">기말 현금 </t>
    </r>
    <r>
      <rPr>
        <sz val="10"/>
        <color rgb="FF000000"/>
        <rFont val="Arial"/>
        <family val="0"/>
        <charset val="1"/>
      </rPr>
      <t xml:space="preserve">(</t>
    </r>
    <r>
      <rPr>
        <sz val="10"/>
        <color rgb="FF000000"/>
        <rFont val="PingFang SC"/>
        <family val="2"/>
      </rPr>
      <t xml:space="preserve">예상</t>
    </r>
    <r>
      <rPr>
        <sz val="10"/>
        <color rgb="FF000000"/>
        <rFont val="Arial"/>
        <family val="0"/>
        <charset val="1"/>
      </rPr>
      <t xml:space="preserve">)</t>
    </r>
  </si>
  <si>
    <r>
      <rPr>
        <i val="true"/>
        <sz val="9"/>
        <rFont val="Arial"/>
        <family val="0"/>
        <charset val="1"/>
      </rPr>
      <t xml:space="preserve">36</t>
    </r>
    <r>
      <rPr>
        <i val="true"/>
        <sz val="9"/>
        <rFont val="PingFang SC"/>
        <family val="2"/>
      </rPr>
      <t xml:space="preserve">개월 누적 손실</t>
    </r>
  </si>
  <si>
    <t xml:space="preserve">런웨이 (Runway · 자금 소진 전 기간) 평가 (M36 cash &gt; 0이면 OK)</t>
  </si>
  <si>
    <t xml:space="preserve">핵심 지표</t>
  </si>
  <si>
    <r>
      <rPr>
        <i val="true"/>
        <sz val="9"/>
        <rFont val="Arial"/>
        <family val="0"/>
        <charset val="1"/>
      </rPr>
      <t xml:space="preserve">Toggle </t>
    </r>
    <r>
      <rPr>
        <i val="true"/>
        <sz val="9"/>
        <rFont val="PingFang SC"/>
        <family val="2"/>
      </rPr>
      <t xml:space="preserve">결과 </t>
    </r>
    <r>
      <rPr>
        <i val="true"/>
        <sz val="9"/>
        <rFont val="Arial"/>
        <family val="0"/>
        <charset val="1"/>
      </rPr>
      <t xml:space="preserve">vs </t>
    </r>
    <r>
      <rPr>
        <i val="true"/>
        <sz val="9"/>
        <rFont val="PingFang SC"/>
        <family val="2"/>
      </rPr>
      <t xml:space="preserve">정적 비교</t>
    </r>
  </si>
  <si>
    <t xml:space="preserve">💡 동적 시나리오 사용 방법</t>
  </si>
  <si>
    <r>
      <rPr>
        <sz val="10"/>
        <color rgb="FF56423E"/>
        <rFont val="Arial"/>
        <family val="0"/>
        <charset val="1"/>
      </rPr>
      <t xml:space="preserve">1. Assumptions </t>
    </r>
    <r>
      <rPr>
        <sz val="10"/>
        <color rgb="FF56423E"/>
        <rFont val="PingFang SC"/>
        <family val="2"/>
      </rPr>
      <t xml:space="preserve">시트 </t>
    </r>
    <r>
      <rPr>
        <sz val="10"/>
        <color rgb="FF56423E"/>
        <rFont val="Arial"/>
        <family val="0"/>
        <charset val="1"/>
      </rPr>
      <t xml:space="preserve">B47 </t>
    </r>
    <r>
      <rPr>
        <sz val="10"/>
        <color rgb="FF56423E"/>
        <rFont val="PingFang SC"/>
        <family val="2"/>
      </rPr>
      <t xml:space="preserve">셀</t>
    </r>
    <r>
      <rPr>
        <sz val="10"/>
        <color rgb="FF56423E"/>
        <rFont val="Arial"/>
        <family val="0"/>
        <charset val="1"/>
      </rPr>
      <t xml:space="preserve">(</t>
    </r>
    <r>
      <rPr>
        <sz val="10"/>
        <color rgb="FF56423E"/>
        <rFont val="PingFang SC"/>
        <family val="2"/>
      </rPr>
      <t xml:space="preserve">노란 배경</t>
    </r>
    <r>
      <rPr>
        <sz val="10"/>
        <color rgb="FF56423E"/>
        <rFont val="Arial"/>
        <family val="0"/>
        <charset val="1"/>
      </rPr>
      <t xml:space="preserve">)</t>
    </r>
    <r>
      <rPr>
        <sz val="10"/>
        <color rgb="FF56423E"/>
        <rFont val="PingFang SC"/>
        <family val="2"/>
      </rPr>
      <t xml:space="preserve">을 </t>
    </r>
    <r>
      <rPr>
        <sz val="10"/>
        <color rgb="FF56423E"/>
        <rFont val="Arial"/>
        <family val="0"/>
        <charset val="1"/>
      </rPr>
      <t xml:space="preserve">1 → 0</t>
    </r>
    <r>
      <rPr>
        <sz val="10"/>
        <color rgb="FF56423E"/>
        <rFont val="PingFang SC"/>
        <family val="2"/>
      </rPr>
      <t xml:space="preserve">으로 변경</t>
    </r>
  </si>
  <si>
    <r>
      <rPr>
        <sz val="10"/>
        <color rgb="FF56423E"/>
        <rFont val="Arial"/>
        <family val="0"/>
        <charset val="1"/>
      </rPr>
      <t xml:space="preserve">2. CashFlow </t>
    </r>
    <r>
      <rPr>
        <sz val="10"/>
        <color rgb="FF56423E"/>
        <rFont val="PingFang SC"/>
        <family val="2"/>
      </rPr>
      <t xml:space="preserve">시트의 </t>
    </r>
    <r>
      <rPr>
        <sz val="10"/>
        <color rgb="FF56423E"/>
        <rFont val="Arial"/>
        <family val="0"/>
        <charset val="1"/>
      </rPr>
      <t xml:space="preserve">M12~M36 </t>
    </r>
    <r>
      <rPr>
        <sz val="10"/>
        <color rgb="FF56423E"/>
        <rFont val="PingFang SC"/>
        <family val="2"/>
      </rPr>
      <t xml:space="preserve">행이 자동으로 </t>
    </r>
    <r>
      <rPr>
        <sz val="10"/>
        <color rgb="FF56423E"/>
        <rFont val="Arial"/>
        <family val="0"/>
        <charset val="1"/>
      </rPr>
      <t xml:space="preserve">TIPS </t>
    </r>
    <r>
      <rPr>
        <sz val="10"/>
        <color rgb="FF56423E"/>
        <rFont val="PingFang SC"/>
        <family val="2"/>
      </rPr>
      <t xml:space="preserve">없는 시나리오로 재계산</t>
    </r>
  </si>
  <si>
    <r>
      <rPr>
        <sz val="10"/>
        <color rgb="FF56423E"/>
        <rFont val="Arial"/>
        <family val="0"/>
        <charset val="1"/>
      </rPr>
      <t xml:space="preserve">3. M36 Ending Cash</t>
    </r>
    <r>
      <rPr>
        <sz val="10"/>
        <color rgb="FF56423E"/>
        <rFont val="PingFang SC"/>
        <family val="2"/>
      </rPr>
      <t xml:space="preserve">가 </t>
    </r>
    <r>
      <rPr>
        <sz val="10"/>
        <color rgb="FF56423E"/>
        <rFont val="Arial"/>
        <family val="0"/>
        <charset val="1"/>
      </rPr>
      <t xml:space="preserve">(+)</t>
    </r>
    <r>
      <rPr>
        <sz val="10"/>
        <color rgb="FF56423E"/>
        <rFont val="PingFang SC"/>
        <family val="2"/>
      </rPr>
      <t xml:space="preserve">이면 </t>
    </r>
    <r>
      <rPr>
        <sz val="10"/>
        <color rgb="FF56423E"/>
        <rFont val="Arial"/>
        <family val="0"/>
        <charset val="1"/>
      </rPr>
      <t xml:space="preserve">TIPS </t>
    </r>
    <r>
      <rPr>
        <sz val="10"/>
        <color rgb="FF56423E"/>
        <rFont val="PingFang SC"/>
        <family val="2"/>
      </rPr>
      <t xml:space="preserve">미통과해도 </t>
    </r>
    <r>
      <rPr>
        <sz val="10"/>
        <color rgb="FF56423E"/>
        <rFont val="Arial"/>
        <family val="0"/>
        <charset val="1"/>
      </rPr>
      <t xml:space="preserve">36</t>
    </r>
    <r>
      <rPr>
        <sz val="10"/>
        <color rgb="FF56423E"/>
        <rFont val="PingFang SC"/>
        <family val="2"/>
      </rPr>
      <t xml:space="preserve">개월 런웨이 확보 의미</t>
    </r>
  </si>
  <si>
    <r>
      <rPr>
        <sz val="10"/>
        <color rgb="FF56423E"/>
        <rFont val="Arial"/>
        <family val="0"/>
        <charset val="1"/>
      </rPr>
      <t xml:space="preserve">4. M36 Ending Cash</t>
    </r>
    <r>
      <rPr>
        <sz val="10"/>
        <color rgb="FF56423E"/>
        <rFont val="PingFang SC"/>
        <family val="2"/>
      </rPr>
      <t xml:space="preserve">가 </t>
    </r>
    <r>
      <rPr>
        <sz val="10"/>
        <color rgb="FF56423E"/>
        <rFont val="Arial"/>
        <family val="0"/>
        <charset val="1"/>
      </rPr>
      <t xml:space="preserve">(-)</t>
    </r>
    <r>
      <rPr>
        <sz val="10"/>
        <color rgb="FF56423E"/>
        <rFont val="PingFang SC"/>
        <family val="2"/>
      </rPr>
      <t xml:space="preserve">면 추가 펀딩 </t>
    </r>
    <r>
      <rPr>
        <sz val="10"/>
        <color rgb="FF56423E"/>
        <rFont val="Arial"/>
        <family val="0"/>
        <charset val="1"/>
      </rPr>
      <t xml:space="preserve">(Series A </t>
    </r>
    <r>
      <rPr>
        <sz val="10"/>
        <color rgb="FF56423E"/>
        <rFont val="PingFang SC"/>
        <family val="2"/>
      </rPr>
      <t xml:space="preserve">조기 또는 운영비 절감</t>
    </r>
    <r>
      <rPr>
        <sz val="10"/>
        <color rgb="FF56423E"/>
        <rFont val="Arial"/>
        <family val="0"/>
        <charset val="1"/>
      </rPr>
      <t xml:space="preserve">) </t>
    </r>
    <r>
      <rPr>
        <sz val="10"/>
        <color rgb="FF56423E"/>
        <rFont val="PingFang SC"/>
        <family val="2"/>
      </rPr>
      <t xml:space="preserve">필요</t>
    </r>
  </si>
  <si>
    <t xml:space="preserve">🎯 핵심 결론</t>
  </si>
  <si>
    <t xml:space="preserve">• 재무 모델은 보수적이라 TIPS 미통과 시에도 36개월 런웨이 확보 가능 (Pre-A ₩80억 + 정부지원 ₩4-5억)</t>
  </si>
  <si>
    <t xml:space="preserve">• 단 TIPS 통과 시 M36 현금 ₩8억 더 보유 → Series A 협상력 ↑</t>
  </si>
  <si>
    <r>
      <rPr>
        <sz val="10"/>
        <rFont val="Arial"/>
        <family val="0"/>
        <charset val="1"/>
      </rPr>
      <t xml:space="preserve">• Pre-A </t>
    </r>
    <r>
      <rPr>
        <sz val="10"/>
        <rFont val="PingFang SC"/>
        <family val="2"/>
      </rPr>
      <t xml:space="preserve">미팅 시 </t>
    </r>
    <r>
      <rPr>
        <sz val="10"/>
        <rFont val="Arial"/>
        <family val="0"/>
        <charset val="1"/>
      </rPr>
      <t xml:space="preserve">"TIPS</t>
    </r>
    <r>
      <rPr>
        <sz val="10"/>
        <rFont val="PingFang SC"/>
        <family val="2"/>
      </rPr>
      <t xml:space="preserve">는 보너스</t>
    </r>
    <r>
      <rPr>
        <sz val="10"/>
        <rFont val="Arial"/>
        <family val="0"/>
        <charset val="1"/>
      </rPr>
      <t xml:space="preserve">, </t>
    </r>
    <r>
      <rPr>
        <sz val="10"/>
        <rFont val="PingFang SC"/>
        <family val="2"/>
      </rPr>
      <t xml:space="preserve">미통과해도 </t>
    </r>
    <r>
      <rPr>
        <sz val="10"/>
        <rFont val="Arial"/>
        <family val="0"/>
        <charset val="1"/>
      </rPr>
      <t xml:space="preserve">36</t>
    </r>
    <r>
      <rPr>
        <sz val="10"/>
        <rFont val="PingFang SC"/>
        <family val="2"/>
      </rPr>
      <t xml:space="preserve">개월 </t>
    </r>
    <r>
      <rPr>
        <sz val="10"/>
        <rFont val="Arial"/>
        <family val="0"/>
        <charset val="1"/>
      </rPr>
      <t xml:space="preserve">OK"</t>
    </r>
    <r>
      <rPr>
        <sz val="10"/>
        <rFont val="PingFang SC"/>
        <family val="2"/>
      </rPr>
      <t xml:space="preserve">로 솔직하게 표현 권장</t>
    </r>
  </si>
  <si>
    <r>
      <rPr>
        <sz val="10"/>
        <rFont val="Arial"/>
        <family val="0"/>
        <charset val="1"/>
      </rPr>
      <t xml:space="preserve">• K-</t>
    </r>
    <r>
      <rPr>
        <sz val="10"/>
        <rFont val="PingFang SC"/>
        <family val="2"/>
      </rPr>
      <t xml:space="preserve">스타트업 본선 </t>
    </r>
    <r>
      <rPr>
        <sz val="10"/>
        <rFont val="Arial"/>
        <family val="0"/>
        <charset val="1"/>
      </rPr>
      <t xml:space="preserve">(</t>
    </r>
    <r>
      <rPr>
        <sz val="10"/>
        <rFont val="PingFang SC"/>
        <family val="2"/>
      </rPr>
      <t xml:space="preserve">상금 ₩</t>
    </r>
    <r>
      <rPr>
        <sz val="10"/>
        <rFont val="Arial"/>
        <family val="0"/>
        <charset val="1"/>
      </rPr>
      <t xml:space="preserve">5</t>
    </r>
    <r>
      <rPr>
        <sz val="10"/>
        <rFont val="PingFang SC"/>
        <family val="2"/>
      </rPr>
      <t xml:space="preserve">억</t>
    </r>
    <r>
      <rPr>
        <sz val="10"/>
        <rFont val="Arial"/>
        <family val="0"/>
        <charset val="1"/>
      </rPr>
      <t xml:space="preserve">)</t>
    </r>
    <r>
      <rPr>
        <sz val="10"/>
        <rFont val="PingFang SC"/>
        <family val="2"/>
      </rPr>
      <t xml:space="preserve">도 동일 — 보너스로 분류</t>
    </r>
  </si>
  <si>
    <r>
      <rPr>
        <b val="true"/>
        <sz val="14"/>
        <color rgb="FF9F402D"/>
        <rFont val="Arial"/>
        <family val="0"/>
        <charset val="1"/>
      </rPr>
      <t xml:space="preserve">🎯 BEP_Runway — </t>
    </r>
    <r>
      <rPr>
        <b val="true"/>
        <sz val="14"/>
        <color rgb="FF9F402D"/>
        <rFont val="PingFang SC"/>
        <family val="2"/>
      </rPr>
      <t xml:space="preserve">손익분기점 </t>
    </r>
    <r>
      <rPr>
        <b val="true"/>
        <sz val="14"/>
        <color rgb="FF9F402D"/>
        <rFont val="Arial"/>
        <family val="0"/>
        <charset val="1"/>
      </rPr>
      <t xml:space="preserve">+ Pre-A </t>
    </r>
    <r>
      <rPr>
        <b val="true"/>
        <sz val="14"/>
        <color rgb="FF9F402D"/>
        <rFont val="PingFang SC"/>
        <family val="2"/>
      </rPr>
      <t xml:space="preserve">런웨이 자동 계산</t>
    </r>
  </si>
  <si>
    <r>
      <rPr>
        <i val="true"/>
        <sz val="9"/>
        <color rgb="FF666666"/>
        <rFont val="Arial"/>
        <family val="0"/>
        <charset val="1"/>
      </rPr>
      <t xml:space="preserve">v1.6 </t>
    </r>
    <r>
      <rPr>
        <i val="true"/>
        <sz val="9"/>
        <color rgb="FF666666"/>
        <rFont val="PingFang SC"/>
        <family val="2"/>
      </rPr>
      <t xml:space="preserve">갱신 </t>
    </r>
    <r>
      <rPr>
        <i val="true"/>
        <sz val="9"/>
        <color rgb="FF666666"/>
        <rFont val="Arial"/>
        <family val="0"/>
        <charset val="1"/>
      </rPr>
      <t xml:space="preserve">(2026-05-28) · BUSINESS_STRATEGY §6·§9 + IR Pitch v3 Slide 14 </t>
    </r>
    <r>
      <rPr>
        <i val="true"/>
        <sz val="9"/>
        <color rgb="FF666666"/>
        <rFont val="PingFang SC"/>
        <family val="2"/>
      </rPr>
      <t xml:space="preserve">정합 </t>
    </r>
    <r>
      <rPr>
        <i val="true"/>
        <sz val="9"/>
        <color rgb="FF666666"/>
        <rFont val="Arial"/>
        <family val="0"/>
        <charset val="1"/>
      </rPr>
      <t xml:space="preserve">· 2</t>
    </r>
    <r>
      <rPr>
        <i val="true"/>
        <sz val="9"/>
        <color rgb="FF666666"/>
        <rFont val="PingFang SC"/>
        <family val="2"/>
      </rPr>
      <t xml:space="preserve">차 재사이즈 ₩</t>
    </r>
    <r>
      <rPr>
        <i val="true"/>
        <sz val="9"/>
        <color rgb="FF666666"/>
        <rFont val="Arial"/>
        <family val="0"/>
        <charset val="1"/>
      </rPr>
      <t xml:space="preserve">10-20</t>
    </r>
    <r>
      <rPr>
        <i val="true"/>
        <sz val="9"/>
        <color rgb="FF666666"/>
        <rFont val="PingFang SC"/>
        <family val="2"/>
      </rPr>
      <t xml:space="preserve">억</t>
    </r>
  </si>
  <si>
    <r>
      <rPr>
        <b val="true"/>
        <sz val="12"/>
        <color rgb="FF9F402D"/>
        <rFont val="Arial"/>
        <family val="0"/>
        <charset val="1"/>
      </rPr>
      <t xml:space="preserve">A. </t>
    </r>
    <r>
      <rPr>
        <b val="true"/>
        <sz val="12"/>
        <color rgb="FF9F402D"/>
        <rFont val="PingFang SC"/>
        <family val="2"/>
      </rPr>
      <t xml:space="preserve">손익분기점 </t>
    </r>
    <r>
      <rPr>
        <b val="true"/>
        <sz val="12"/>
        <color rgb="FF9F402D"/>
        <rFont val="Arial"/>
        <family val="0"/>
        <charset val="1"/>
      </rPr>
      <t xml:space="preserve">(BEP) </t>
    </r>
    <r>
      <rPr>
        <b val="true"/>
        <sz val="12"/>
        <color rgb="FF9F402D"/>
        <rFont val="PingFang SC"/>
        <family val="2"/>
      </rPr>
      <t xml:space="preserve">계산</t>
    </r>
  </si>
  <si>
    <t xml:space="preserve">단위</t>
  </si>
  <si>
    <t xml:space="preserve">출처·산식</t>
  </si>
  <si>
    <t xml:space="preserve">월 평균 인건비 (M1-M12 평균, KRW)</t>
  </si>
  <si>
    <r>
      <rPr>
        <sz val="11"/>
        <color theme="1"/>
        <rFont val="Calibri"/>
        <family val="2"/>
        <charset val="1"/>
      </rPr>
      <t xml:space="preserve">Calc: AVERAGE(Headcount D4:D15) </t>
    </r>
    <r>
      <rPr>
        <sz val="11"/>
        <color theme="1"/>
        <rFont val="PingFang SC"/>
        <family val="2"/>
      </rPr>
      <t xml:space="preserve">평균</t>
    </r>
  </si>
  <si>
    <t xml:space="preserve">월 사무실·SaaS (Assumptions §4)</t>
  </si>
  <si>
    <r>
      <rPr>
        <sz val="11"/>
        <color theme="1"/>
        <rFont val="Calibri"/>
        <family val="2"/>
        <charset val="1"/>
      </rPr>
      <t xml:space="preserve">Assumptions B23 (D.CAMP </t>
    </r>
    <r>
      <rPr>
        <sz val="11"/>
        <color theme="1"/>
        <rFont val="PingFang SC"/>
        <family val="2"/>
      </rPr>
      <t xml:space="preserve">무료 </t>
    </r>
    <r>
      <rPr>
        <sz val="11"/>
        <color theme="1"/>
        <rFont val="Calibri"/>
        <family val="2"/>
        <charset val="1"/>
      </rPr>
      <t xml:space="preserve">= ₩0)</t>
    </r>
  </si>
  <si>
    <t xml:space="preserve">월 보험·복리·외부 회계법무 (추정 가산)</t>
  </si>
  <si>
    <r>
      <rPr>
        <sz val="11"/>
        <color theme="1"/>
        <rFont val="Calibri"/>
        <family val="2"/>
        <charset val="1"/>
      </rPr>
      <t xml:space="preserve">Source: BUSINESS_STRATEGY §6-1 (</t>
    </r>
    <r>
      <rPr>
        <sz val="11"/>
        <color theme="1"/>
        <rFont val="PingFang SC"/>
        <family val="2"/>
      </rPr>
      <t xml:space="preserve">보험 ₩</t>
    </r>
    <r>
      <rPr>
        <sz val="11"/>
        <color theme="1"/>
        <rFont val="Calibri"/>
        <family val="2"/>
        <charset val="1"/>
      </rPr>
      <t xml:space="preserve">3M + </t>
    </r>
    <r>
      <rPr>
        <sz val="11"/>
        <color theme="1"/>
        <rFont val="PingFang SC"/>
        <family val="2"/>
      </rPr>
      <t xml:space="preserve">회계 ₩</t>
    </r>
    <r>
      <rPr>
        <sz val="11"/>
        <color theme="1"/>
        <rFont val="Calibri"/>
        <family val="2"/>
        <charset val="1"/>
      </rPr>
      <t xml:space="preserve">1.5M)</t>
    </r>
  </si>
  <si>
    <t xml:space="preserve">월 고정비 합계 (Fixed Cost)</t>
  </si>
  <si>
    <t xml:space="preserve">정상 영업마진 (% of GMV)</t>
  </si>
  <si>
    <r>
      <rPr>
        <sz val="11"/>
        <color theme="1"/>
        <rFont val="Calibri"/>
        <family val="2"/>
        <charset val="1"/>
      </rPr>
      <t xml:space="preserve">Source: BUSINESS_STRATEGY §4-1 </t>
    </r>
    <r>
      <rPr>
        <sz val="11"/>
        <color theme="1"/>
        <rFont val="PingFang SC"/>
        <family val="2"/>
      </rPr>
      <t xml:space="preserve">정상 시나리오 </t>
    </r>
    <r>
      <rPr>
        <sz val="11"/>
        <color theme="1"/>
        <rFont val="Calibri"/>
        <family val="2"/>
        <charset val="1"/>
      </rPr>
      <t xml:space="preserve">(12%)</t>
    </r>
  </si>
  <si>
    <r>
      <rPr>
        <sz val="11"/>
        <color theme="1"/>
        <rFont val="Calibri"/>
        <family val="2"/>
        <charset val="1"/>
      </rPr>
      <t xml:space="preserve">BEP GMV / </t>
    </r>
    <r>
      <rPr>
        <sz val="11"/>
        <color theme="1"/>
        <rFont val="PingFang SC"/>
        <family val="2"/>
      </rPr>
      <t xml:space="preserve">월 </t>
    </r>
    <r>
      <rPr>
        <sz val="11"/>
        <color theme="1"/>
        <rFont val="Calibri"/>
        <family val="2"/>
        <charset val="1"/>
      </rPr>
      <t xml:space="preserve">(Required GMV to break even)</t>
    </r>
  </si>
  <si>
    <t xml:space="preserve">Calc: B10 / B11 (BUSINESS_STRATEGY §6-4 ≈ ₩363M)</t>
  </si>
  <si>
    <t xml:space="preserve">BEP AOV (KRW, =Assumptions §2)</t>
  </si>
  <si>
    <t xml:space="preserve">Calc: AOV USD × FX (Assumptions B8)</t>
  </si>
  <si>
    <r>
      <rPr>
        <sz val="11"/>
        <color theme="1"/>
        <rFont val="Calibri"/>
        <family val="2"/>
        <charset val="1"/>
      </rPr>
      <t xml:space="preserve">BEP </t>
    </r>
    <r>
      <rPr>
        <sz val="11"/>
        <color theme="1"/>
        <rFont val="PingFang SC"/>
        <family val="2"/>
      </rPr>
      <t xml:space="preserve">주문수 </t>
    </r>
    <r>
      <rPr>
        <sz val="11"/>
        <color theme="1"/>
        <rFont val="Calibri"/>
        <family val="2"/>
        <charset val="1"/>
      </rPr>
      <t xml:space="preserve">/ </t>
    </r>
    <r>
      <rPr>
        <sz val="11"/>
        <color theme="1"/>
        <rFont val="PingFang SC"/>
        <family val="2"/>
      </rPr>
      <t xml:space="preserve">월</t>
    </r>
  </si>
  <si>
    <t xml:space="preserve">orders/mo</t>
  </si>
  <si>
    <t xml:space="preserve">Calc: BEP GMV / AOV</t>
  </si>
  <si>
    <r>
      <rPr>
        <sz val="11"/>
        <color theme="1"/>
        <rFont val="Calibri"/>
        <family val="2"/>
        <charset val="1"/>
      </rPr>
      <t xml:space="preserve">BEP </t>
    </r>
    <r>
      <rPr>
        <sz val="11"/>
        <color theme="1"/>
        <rFont val="PingFang SC"/>
        <family val="2"/>
      </rPr>
      <t xml:space="preserve">도달 예상 월 </t>
    </r>
    <r>
      <rPr>
        <sz val="11"/>
        <color theme="1"/>
        <rFont val="Calibri"/>
        <family val="2"/>
        <charset val="1"/>
      </rPr>
      <t xml:space="preserve">(Revenue </t>
    </r>
    <r>
      <rPr>
        <sz val="11"/>
        <color theme="1"/>
        <rFont val="PingFang SC"/>
        <family val="2"/>
      </rPr>
      <t xml:space="preserve">시트의 첫 월별 </t>
    </r>
    <r>
      <rPr>
        <sz val="11"/>
        <color theme="1"/>
        <rFont val="Calibri"/>
        <family val="2"/>
        <charset val="1"/>
      </rPr>
      <t xml:space="preserve">GMV ≥ BEP)</t>
    </r>
  </si>
  <si>
    <r>
      <rPr>
        <sz val="11"/>
        <color theme="1"/>
        <rFont val="Calibri"/>
        <family val="2"/>
        <charset val="1"/>
      </rPr>
      <t xml:space="preserve">Revenue!E (GMV) </t>
    </r>
    <r>
      <rPr>
        <sz val="11"/>
        <color theme="1"/>
        <rFont val="PingFang SC"/>
        <family val="2"/>
      </rPr>
      <t xml:space="preserve">첫 ≥ </t>
    </r>
    <r>
      <rPr>
        <sz val="11"/>
        <color theme="1"/>
        <rFont val="Calibri"/>
        <family val="2"/>
        <charset val="1"/>
      </rPr>
      <t xml:space="preserve">BEP </t>
    </r>
    <r>
      <rPr>
        <sz val="11"/>
        <color theme="1"/>
        <rFont val="PingFang SC"/>
        <family val="2"/>
      </rPr>
      <t xml:space="preserve">의 월</t>
    </r>
  </si>
  <si>
    <r>
      <rPr>
        <b val="true"/>
        <sz val="12"/>
        <color rgb="FF9F402D"/>
        <rFont val="Arial"/>
        <family val="0"/>
        <charset val="1"/>
      </rPr>
      <t xml:space="preserve">B. Pre-A 3 </t>
    </r>
    <r>
      <rPr>
        <b val="true"/>
        <sz val="12"/>
        <color rgb="FF9F402D"/>
        <rFont val="PingFang SC"/>
        <family val="2"/>
      </rPr>
      <t xml:space="preserve">시나리오 — 런웨이 비교</t>
    </r>
  </si>
  <si>
    <r>
      <rPr>
        <i val="true"/>
        <sz val="9"/>
        <color rgb="FF666666"/>
        <rFont val="Arial"/>
        <family val="0"/>
        <charset val="1"/>
      </rPr>
      <t xml:space="preserve">IR </t>
    </r>
    <r>
      <rPr>
        <i val="true"/>
        <sz val="9"/>
        <color rgb="FF666666"/>
        <rFont val="PingFang SC"/>
        <family val="2"/>
      </rPr>
      <t xml:space="preserve">가정 </t>
    </r>
    <r>
      <rPr>
        <i val="true"/>
        <sz val="9"/>
        <color rgb="FF666666"/>
        <rFont val="Arial"/>
        <family val="0"/>
        <charset val="1"/>
      </rPr>
      <t xml:space="preserve">burn (Scaled, BUSINESS_STRATEGY §6 </t>
    </r>
    <r>
      <rPr>
        <i val="true"/>
        <sz val="9"/>
        <color rgb="FF666666"/>
        <rFont val="PingFang SC"/>
        <family val="2"/>
      </rPr>
      <t xml:space="preserve">기반</t>
    </r>
    <r>
      <rPr>
        <i val="true"/>
        <sz val="9"/>
        <color rgb="FF666666"/>
        <rFont val="Arial"/>
        <family val="0"/>
        <charset val="1"/>
      </rPr>
      <t xml:space="preserve">):</t>
    </r>
  </si>
  <si>
    <t xml:space="preserve">Inflow (KRW)</t>
  </si>
  <si>
    <t xml:space="preserve">Avg Burn (Model 36mo)</t>
  </si>
  <si>
    <t xml:space="preserve">Runway Model</t>
  </si>
  <si>
    <r>
      <rPr>
        <b val="true"/>
        <sz val="11"/>
        <color rgb="FFFFFFFF"/>
        <rFont val="Arial"/>
        <family val="0"/>
        <charset val="1"/>
      </rPr>
      <t xml:space="preserve">Avg Burn (IR </t>
    </r>
    <r>
      <rPr>
        <b val="true"/>
        <sz val="11"/>
        <color rgb="FFFFFFFF"/>
        <rFont val="PingFang SC"/>
        <family val="2"/>
      </rPr>
      <t xml:space="preserve">가정</t>
    </r>
    <r>
      <rPr>
        <b val="true"/>
        <sz val="11"/>
        <color rgb="FFFFFFFF"/>
        <rFont val="Arial"/>
        <family val="0"/>
        <charset val="1"/>
      </rPr>
      <t xml:space="preserve">)</t>
    </r>
  </si>
  <si>
    <t xml:space="preserve">Runway IR</t>
  </si>
  <si>
    <t xml:space="preserve">보수 (Conservative)</t>
  </si>
  <si>
    <r>
      <rPr>
        <i val="true"/>
        <sz val="9"/>
        <rFont val="Arial"/>
        <family val="0"/>
        <charset val="1"/>
      </rPr>
      <t xml:space="preserve">₩5-10</t>
    </r>
    <r>
      <rPr>
        <i val="true"/>
        <sz val="9"/>
        <rFont val="PingFang SC"/>
        <family val="2"/>
      </rPr>
      <t xml:space="preserve">억 중간값</t>
    </r>
    <r>
      <rPr>
        <i val="true"/>
        <sz val="9"/>
        <rFont val="Arial"/>
        <family val="0"/>
        <charset val="1"/>
      </rPr>
      <t xml:space="preserve">. LOI 0-5</t>
    </r>
    <r>
      <rPr>
        <i val="true"/>
        <sz val="9"/>
        <rFont val="PingFang SC"/>
        <family val="2"/>
      </rPr>
      <t xml:space="preserve">건 즉시 가능</t>
    </r>
    <r>
      <rPr>
        <i val="true"/>
        <sz val="9"/>
        <rFont val="Arial"/>
        <family val="0"/>
        <charset val="1"/>
      </rPr>
      <t xml:space="preserve">.</t>
    </r>
  </si>
  <si>
    <t xml:space="preserve">기본 (Base ⭐)</t>
  </si>
  <si>
    <r>
      <rPr>
        <i val="true"/>
        <sz val="9"/>
        <rFont val="Arial"/>
        <family val="0"/>
        <charset val="1"/>
      </rPr>
      <t xml:space="preserve">₩10-20</t>
    </r>
    <r>
      <rPr>
        <i val="true"/>
        <sz val="9"/>
        <rFont val="PingFang SC"/>
        <family val="2"/>
      </rPr>
      <t xml:space="preserve">억 중간값</t>
    </r>
    <r>
      <rPr>
        <i val="true"/>
        <sz val="9"/>
        <rFont val="Arial"/>
        <family val="0"/>
        <charset val="1"/>
      </rPr>
      <t xml:space="preserve">. LOI 5-10</t>
    </r>
    <r>
      <rPr>
        <i val="true"/>
        <sz val="9"/>
        <rFont val="PingFang SC"/>
        <family val="2"/>
      </rPr>
      <t xml:space="preserve">건 </t>
    </r>
    <r>
      <rPr>
        <i val="true"/>
        <sz val="9"/>
        <rFont val="Arial"/>
        <family val="0"/>
        <charset val="1"/>
      </rPr>
      <t xml:space="preserve">(Anchor 1-2 + Indie 5-8). 3-6</t>
    </r>
    <r>
      <rPr>
        <i val="true"/>
        <sz val="9"/>
        <rFont val="PingFang SC"/>
        <family val="2"/>
      </rPr>
      <t xml:space="preserve">개월 영업 후</t>
    </r>
    <r>
      <rPr>
        <i val="true"/>
        <sz val="9"/>
        <rFont val="Arial"/>
        <family val="0"/>
        <charset val="1"/>
      </rPr>
      <t xml:space="preserve">.</t>
    </r>
  </si>
  <si>
    <t xml:space="preserve">공격 (Aggressive)</t>
  </si>
  <si>
    <r>
      <rPr>
        <i val="true"/>
        <sz val="9"/>
        <rFont val="Arial"/>
        <family val="0"/>
        <charset val="1"/>
      </rPr>
      <t xml:space="preserve">₩20-30</t>
    </r>
    <r>
      <rPr>
        <i val="true"/>
        <sz val="9"/>
        <rFont val="PingFang SC"/>
        <family val="2"/>
      </rPr>
      <t xml:space="preserve">억 중간값</t>
    </r>
    <r>
      <rPr>
        <i val="true"/>
        <sz val="9"/>
        <rFont val="Arial"/>
        <family val="0"/>
        <charset val="1"/>
      </rPr>
      <t xml:space="preserve">. LOI 20-30</t>
    </r>
    <r>
      <rPr>
        <i val="true"/>
        <sz val="9"/>
        <rFont val="PingFang SC"/>
        <family val="2"/>
      </rPr>
      <t xml:space="preserve">건 </t>
    </r>
    <r>
      <rPr>
        <i val="true"/>
        <sz val="9"/>
        <rFont val="Arial"/>
        <family val="0"/>
        <charset val="1"/>
      </rPr>
      <t xml:space="preserve">(Anchor 3-5+). 9-12</t>
    </r>
    <r>
      <rPr>
        <i val="true"/>
        <sz val="9"/>
        <rFont val="PingFang SC"/>
        <family val="2"/>
      </rPr>
      <t xml:space="preserve">개월 영업 후</t>
    </r>
    <r>
      <rPr>
        <i val="true"/>
        <sz val="9"/>
        <rFont val="Arial"/>
        <family val="0"/>
        <charset val="1"/>
      </rPr>
      <t xml:space="preserve">.</t>
    </r>
  </si>
  <si>
    <t xml:space="preserve">⚠️ 두 가지 burn 가정:</t>
  </si>
  <si>
    <r>
      <rPr>
        <sz val="11"/>
        <color theme="1"/>
        <rFont val="Calibri"/>
        <family val="2"/>
        <charset val="1"/>
      </rPr>
      <t xml:space="preserve">— (</t>
    </r>
    <r>
      <rPr>
        <sz val="11"/>
        <color theme="1"/>
        <rFont val="PingFang SC"/>
        <family val="2"/>
      </rPr>
      <t xml:space="preserve">자동 계산</t>
    </r>
    <r>
      <rPr>
        <sz val="11"/>
        <color theme="1"/>
        <rFont val="Calibri"/>
        <family val="2"/>
        <charset val="1"/>
      </rPr>
      <t xml:space="preserve">)</t>
    </r>
  </si>
  <si>
    <r>
      <rPr>
        <sz val="9"/>
        <color rgb="FF666666"/>
        <rFont val="Arial"/>
        <family val="0"/>
        <charset val="1"/>
      </rPr>
      <t xml:space="preserve">  (1) Model: </t>
    </r>
    <r>
      <rPr>
        <sz val="9"/>
        <color rgb="FF666666"/>
        <rFont val="PingFang SC"/>
        <family val="2"/>
      </rPr>
      <t xml:space="preserve">현 </t>
    </r>
    <r>
      <rPr>
        <sz val="9"/>
        <color rgb="FF666666"/>
        <rFont val="Arial"/>
        <family val="0"/>
        <charset val="1"/>
      </rPr>
      <t xml:space="preserve">xlsx 36</t>
    </r>
    <r>
      <rPr>
        <sz val="9"/>
        <color rgb="FF666666"/>
        <rFont val="PingFang SC"/>
        <family val="2"/>
      </rPr>
      <t xml:space="preserve">개월 평균 </t>
    </r>
    <r>
      <rPr>
        <sz val="9"/>
        <color rgb="FF666666"/>
        <rFont val="Arial"/>
        <family val="0"/>
        <charset val="1"/>
      </rPr>
      <t xml:space="preserve">burn (</t>
    </r>
    <r>
      <rPr>
        <sz val="9"/>
        <color rgb="FF666666"/>
        <rFont val="PingFang SC"/>
        <family val="2"/>
      </rPr>
      <t xml:space="preserve">현 인력 </t>
    </r>
    <r>
      <rPr>
        <sz val="9"/>
        <color rgb="FF666666"/>
        <rFont val="Arial"/>
        <family val="0"/>
        <charset val="1"/>
      </rPr>
      <t xml:space="preserve">6→14 FTE·marketing </t>
    </r>
    <r>
      <rPr>
        <sz val="9"/>
        <color rgb="FF666666"/>
        <rFont val="PingFang SC"/>
        <family val="2"/>
      </rPr>
      <t xml:space="preserve">가정 기반</t>
    </r>
    <r>
      <rPr>
        <sz val="9"/>
        <color rgb="FF666666"/>
        <rFont val="Arial"/>
        <family val="0"/>
        <charset val="1"/>
      </rPr>
      <t xml:space="preserve">)</t>
    </r>
  </si>
  <si>
    <t xml:space="preserve">shared burn cell:</t>
  </si>
  <si>
    <r>
      <rPr>
        <sz val="11"/>
        <color theme="1"/>
        <rFont val="Calibri"/>
        <family val="2"/>
        <charset val="1"/>
      </rPr>
      <t xml:space="preserve">PreA_Scenarios E6-E8 </t>
    </r>
    <r>
      <rPr>
        <sz val="11"/>
        <color theme="1"/>
        <rFont val="PingFang SC"/>
        <family val="2"/>
      </rPr>
      <t xml:space="preserve">가 이 셀 참조</t>
    </r>
  </si>
  <si>
    <r>
      <rPr>
        <sz val="9"/>
        <color rgb="FF666666"/>
        <rFont val="Arial"/>
        <family val="0"/>
        <charset val="1"/>
      </rPr>
      <t xml:space="preserve">  (2) IR (Scaled): BUSINESS_STRATEGY §6 </t>
    </r>
    <r>
      <rPr>
        <sz val="9"/>
        <color rgb="FF666666"/>
        <rFont val="PingFang SC"/>
        <family val="2"/>
      </rPr>
      <t xml:space="preserve">기반 </t>
    </r>
    <r>
      <rPr>
        <sz val="9"/>
        <color rgb="FF666666"/>
        <rFont val="Arial"/>
        <family val="0"/>
        <charset val="1"/>
      </rPr>
      <t xml:space="preserve">(Pre-A </t>
    </r>
    <r>
      <rPr>
        <sz val="9"/>
        <color rgb="FF666666"/>
        <rFont val="PingFang SC"/>
        <family val="2"/>
      </rPr>
      <t xml:space="preserve">후 빠른 인력</t>
    </r>
    <r>
      <rPr>
        <sz val="9"/>
        <color rgb="FF666666"/>
        <rFont val="Arial"/>
        <family val="0"/>
        <charset val="1"/>
      </rPr>
      <t xml:space="preserve">·</t>
    </r>
    <r>
      <rPr>
        <sz val="9"/>
        <color rgb="FF666666"/>
        <rFont val="PingFang SC"/>
        <family val="2"/>
      </rPr>
      <t xml:space="preserve">마케팅 확장 가정</t>
    </r>
    <r>
      <rPr>
        <sz val="9"/>
        <color rgb="FF666666"/>
        <rFont val="Arial"/>
        <family val="0"/>
        <charset val="1"/>
      </rPr>
      <t xml:space="preserve">, ₩70M/mo)</t>
    </r>
  </si>
  <si>
    <r>
      <rPr>
        <i val="true"/>
        <sz val="9"/>
        <color rgb="FF8B5A2B"/>
        <rFont val="Arial"/>
        <family val="0"/>
        <charset val="1"/>
      </rPr>
      <t xml:space="preserve">VC </t>
    </r>
    <r>
      <rPr>
        <i val="true"/>
        <sz val="9"/>
        <color rgb="FF8B5A2B"/>
        <rFont val="PingFang SC"/>
        <family val="2"/>
      </rPr>
      <t xml:space="preserve">보고 시 </t>
    </r>
    <r>
      <rPr>
        <i val="true"/>
        <sz val="9"/>
        <color rgb="FF8B5A2B"/>
        <rFont val="Arial"/>
        <family val="0"/>
        <charset val="1"/>
      </rPr>
      <t xml:space="preserve">(2) IR </t>
    </r>
    <r>
      <rPr>
        <i val="true"/>
        <sz val="9"/>
        <color rgb="FF8B5A2B"/>
        <rFont val="PingFang SC"/>
        <family val="2"/>
      </rPr>
      <t xml:space="preserve">가정 권장 — 보수적 </t>
    </r>
    <r>
      <rPr>
        <i val="true"/>
        <sz val="9"/>
        <color rgb="FF8B5A2B"/>
        <rFont val="Arial"/>
        <family val="0"/>
        <charset val="1"/>
      </rPr>
      <t xml:space="preserve">narrative. (1) Model </t>
    </r>
    <r>
      <rPr>
        <i val="true"/>
        <sz val="9"/>
        <color rgb="FF8B5A2B"/>
        <rFont val="PingFang SC"/>
        <family val="2"/>
      </rPr>
      <t xml:space="preserve">은 </t>
    </r>
    <r>
      <rPr>
        <i val="true"/>
        <sz val="9"/>
        <color rgb="FF8B5A2B"/>
        <rFont val="Arial"/>
        <family val="0"/>
        <charset val="1"/>
      </rPr>
      <t xml:space="preserve">base case </t>
    </r>
    <r>
      <rPr>
        <i val="true"/>
        <sz val="9"/>
        <color rgb="FF8B5A2B"/>
        <rFont val="PingFang SC"/>
        <family val="2"/>
      </rPr>
      <t xml:space="preserve">검증용</t>
    </r>
    <r>
      <rPr>
        <i val="true"/>
        <sz val="9"/>
        <color rgb="FF8B5A2B"/>
        <rFont val="Arial"/>
        <family val="0"/>
        <charset val="1"/>
      </rPr>
      <t xml:space="preserve">.</t>
    </r>
  </si>
  <si>
    <r>
      <rPr>
        <b val="true"/>
        <sz val="12"/>
        <color rgb="FF9F402D"/>
        <rFont val="Arial"/>
        <family val="0"/>
        <charset val="1"/>
      </rPr>
      <t xml:space="preserve">C. BEP </t>
    </r>
    <r>
      <rPr>
        <b val="true"/>
        <sz val="12"/>
        <color rgb="FF9F402D"/>
        <rFont val="PingFang SC"/>
        <family val="2"/>
      </rPr>
      <t xml:space="preserve">도달 경로 </t>
    </r>
    <r>
      <rPr>
        <b val="true"/>
        <sz val="12"/>
        <color rgb="FF9F402D"/>
        <rFont val="Arial"/>
        <family val="0"/>
        <charset val="1"/>
      </rPr>
      <t xml:space="preserve">(</t>
    </r>
    <r>
      <rPr>
        <b val="true"/>
        <sz val="12"/>
        <color rgb="FF9F402D"/>
        <rFont val="PingFang SC"/>
        <family val="2"/>
      </rPr>
      <t xml:space="preserve">월별 </t>
    </r>
    <r>
      <rPr>
        <b val="true"/>
        <sz val="12"/>
        <color rgb="FF9F402D"/>
        <rFont val="Arial"/>
        <family val="0"/>
        <charset val="1"/>
      </rPr>
      <t xml:space="preserve">GMV vs BEP)</t>
    </r>
  </si>
  <si>
    <t xml:space="preserve">Month</t>
  </si>
  <si>
    <t xml:space="preserve">GMV (Revenue!E)</t>
  </si>
  <si>
    <t xml:space="preserve">BEP</t>
  </si>
  <si>
    <t xml:space="preserve">Status</t>
  </si>
  <si>
    <t xml:space="preserve">M24</t>
  </si>
  <si>
    <r>
      <rPr>
        <b val="true"/>
        <sz val="12"/>
        <color rgb="FF9F402D"/>
        <rFont val="Arial"/>
        <family val="0"/>
        <charset val="1"/>
      </rPr>
      <t xml:space="preserve">D. BUSINESS_STRATEGY §9-2 — 12</t>
    </r>
    <r>
      <rPr>
        <b val="true"/>
        <sz val="12"/>
        <color rgb="FF9F402D"/>
        <rFont val="PingFang SC"/>
        <family val="2"/>
      </rPr>
      <t xml:space="preserve">개월 시나리오 정합 확인</t>
    </r>
  </si>
  <si>
    <r>
      <rPr>
        <b val="true"/>
        <sz val="11"/>
        <color rgb="FFFFFFFF"/>
        <rFont val="Arial"/>
        <family val="0"/>
        <charset val="1"/>
      </rPr>
      <t xml:space="preserve">GMV/</t>
    </r>
    <r>
      <rPr>
        <b val="true"/>
        <sz val="11"/>
        <color rgb="FFFFFFFF"/>
        <rFont val="PingFang SC"/>
        <family val="2"/>
      </rPr>
      <t xml:space="preserve">월 </t>
    </r>
    <r>
      <rPr>
        <b val="true"/>
        <sz val="11"/>
        <color rgb="FFFFFFFF"/>
        <rFont val="Arial"/>
        <family val="0"/>
        <charset val="1"/>
      </rPr>
      <t xml:space="preserve">(BUSINESS_STRATEGY §9-2)</t>
    </r>
  </si>
  <si>
    <t xml:space="preserve">Net Revenue (30%)</t>
  </si>
  <si>
    <t xml:space="preserve">영업이익 (~12%)</t>
  </si>
  <si>
    <r>
      <rPr>
        <b val="true"/>
        <sz val="11"/>
        <color rgb="FFFFFFFF"/>
        <rFont val="Arial"/>
        <family val="0"/>
        <charset val="1"/>
      </rPr>
      <t xml:space="preserve">BEP </t>
    </r>
    <r>
      <rPr>
        <b val="true"/>
        <sz val="11"/>
        <color rgb="FFFFFFFF"/>
        <rFont val="PingFang SC"/>
        <family val="2"/>
      </rPr>
      <t xml:space="preserve">도달 여부</t>
    </r>
  </si>
  <si>
    <t xml:space="preserve">Conservative</t>
  </si>
  <si>
    <t xml:space="preserve">Base ⭐</t>
  </si>
  <si>
    <r>
      <rPr>
        <b val="true"/>
        <sz val="12"/>
        <color rgb="FF9F402D"/>
        <rFont val="Arial"/>
        <family val="0"/>
        <charset val="1"/>
      </rPr>
      <t xml:space="preserve">E. ⚠️ </t>
    </r>
    <r>
      <rPr>
        <b val="true"/>
        <sz val="12"/>
        <color rgb="FF9F402D"/>
        <rFont val="PingFang SC"/>
        <family val="2"/>
      </rPr>
      <t xml:space="preserve">모델 </t>
    </r>
    <r>
      <rPr>
        <b val="true"/>
        <sz val="12"/>
        <color rgb="FF9F402D"/>
        <rFont val="Arial"/>
        <family val="0"/>
        <charset val="1"/>
      </rPr>
      <t xml:space="preserve">vs IR Narrative </t>
    </r>
    <r>
      <rPr>
        <b val="true"/>
        <sz val="12"/>
        <color rgb="FF9F402D"/>
        <rFont val="PingFang SC"/>
        <family val="2"/>
      </rPr>
      <t xml:space="preserve">정합 — </t>
    </r>
    <r>
      <rPr>
        <b val="true"/>
        <sz val="12"/>
        <color rgb="FF9F402D"/>
        <rFont val="Arial"/>
        <family val="0"/>
        <charset val="1"/>
      </rPr>
      <t xml:space="preserve">RECONCILIATION</t>
    </r>
  </si>
  <si>
    <t xml:space="preserve">현 xlsx 모델 (보수 가정)</t>
  </si>
  <si>
    <r>
      <rPr>
        <sz val="10"/>
        <rFont val="Arial"/>
        <family val="0"/>
        <charset val="1"/>
      </rPr>
      <t xml:space="preserve">36</t>
    </r>
    <r>
      <rPr>
        <sz val="10"/>
        <rFont val="PingFang SC"/>
        <family val="2"/>
      </rPr>
      <t xml:space="preserve">개월 총 </t>
    </r>
    <r>
      <rPr>
        <sz val="10"/>
        <rFont val="Arial"/>
        <family val="0"/>
        <charset val="1"/>
      </rPr>
      <t xml:space="preserve">burn ≈ ₩19</t>
    </r>
    <r>
      <rPr>
        <sz val="10"/>
        <rFont val="PingFang SC"/>
        <family val="2"/>
      </rPr>
      <t xml:space="preserve">억 </t>
    </r>
    <r>
      <rPr>
        <sz val="10"/>
        <rFont val="Arial"/>
        <family val="0"/>
        <charset val="1"/>
      </rPr>
      <t xml:space="preserve">(avg ₩52M/mo)</t>
    </r>
  </si>
  <si>
    <r>
      <rPr>
        <i val="true"/>
        <sz val="9"/>
        <color rgb="FF8B5A2B"/>
        <rFont val="Arial"/>
        <family val="0"/>
        <charset val="1"/>
      </rPr>
      <t xml:space="preserve">→ Pre-A ₩10-20</t>
    </r>
    <r>
      <rPr>
        <i val="true"/>
        <sz val="9"/>
        <color rgb="FF8B5A2B"/>
        <rFont val="PingFang SC"/>
        <family val="2"/>
      </rPr>
      <t xml:space="preserve">억 </t>
    </r>
    <r>
      <rPr>
        <i val="true"/>
        <sz val="9"/>
        <color rgb="FF8B5A2B"/>
        <rFont val="Arial"/>
        <family val="0"/>
        <charset val="1"/>
      </rPr>
      <t xml:space="preserve">+ </t>
    </r>
    <r>
      <rPr>
        <i val="true"/>
        <sz val="9"/>
        <color rgb="FF8B5A2B"/>
        <rFont val="PingFang SC"/>
        <family val="2"/>
      </rPr>
      <t xml:space="preserve">정부지원 ₩</t>
    </r>
    <r>
      <rPr>
        <i val="true"/>
        <sz val="9"/>
        <color rgb="FF8B5A2B"/>
        <rFont val="Arial"/>
        <family val="0"/>
        <charset val="1"/>
      </rPr>
      <t xml:space="preserve">25-40</t>
    </r>
    <r>
      <rPr>
        <i val="true"/>
        <sz val="9"/>
        <color rgb="FF8B5A2B"/>
        <rFont val="PingFang SC"/>
        <family val="2"/>
      </rPr>
      <t xml:space="preserve">억 </t>
    </r>
    <r>
      <rPr>
        <i val="true"/>
        <sz val="9"/>
        <color rgb="FF8B5A2B"/>
        <rFont val="Arial"/>
        <family val="0"/>
        <charset val="1"/>
      </rPr>
      <t xml:space="preserve">+ </t>
    </r>
    <r>
      <rPr>
        <i val="true"/>
        <sz val="9"/>
        <color rgb="FF8B5A2B"/>
        <rFont val="PingFang SC"/>
        <family val="2"/>
      </rPr>
      <t xml:space="preserve">사무실 무료 </t>
    </r>
    <r>
      <rPr>
        <i val="true"/>
        <sz val="9"/>
        <color rgb="FF8B5A2B"/>
        <rFont val="Arial"/>
        <family val="0"/>
        <charset val="1"/>
      </rPr>
      <t xml:space="preserve">= </t>
    </r>
    <r>
      <rPr>
        <i val="true"/>
        <sz val="9"/>
        <color rgb="FF8B5A2B"/>
        <rFont val="PingFang SC"/>
        <family val="2"/>
      </rPr>
      <t xml:space="preserve">종합 ₩</t>
    </r>
    <r>
      <rPr>
        <i val="true"/>
        <sz val="9"/>
        <color rgb="FF8B5A2B"/>
        <rFont val="Arial"/>
        <family val="0"/>
        <charset val="1"/>
      </rPr>
      <t xml:space="preserve">35-60</t>
    </r>
    <r>
      <rPr>
        <i val="true"/>
        <sz val="9"/>
        <color rgb="FF8B5A2B"/>
        <rFont val="PingFang SC"/>
        <family val="2"/>
      </rPr>
      <t xml:space="preserve">억 </t>
    </r>
    <r>
      <rPr>
        <i val="true"/>
        <sz val="9"/>
        <color rgb="FF8B5A2B"/>
        <rFont val="Arial"/>
        <family val="0"/>
        <charset val="1"/>
      </rPr>
      <t xml:space="preserve">= BEP M24 </t>
    </r>
    <r>
      <rPr>
        <i val="true"/>
        <sz val="9"/>
        <color rgb="FF8B5A2B"/>
        <rFont val="PingFang SC"/>
        <family val="2"/>
      </rPr>
      <t xml:space="preserve">도달 충분</t>
    </r>
  </si>
  <si>
    <r>
      <rPr>
        <b val="true"/>
        <sz val="10"/>
        <rFont val="Arial"/>
        <family val="0"/>
        <charset val="1"/>
      </rPr>
      <t xml:space="preserve">BUSINESS_STRATEGY §6 </t>
    </r>
    <r>
      <rPr>
        <b val="true"/>
        <sz val="10"/>
        <rFont val="PingFang SC"/>
        <family val="2"/>
      </rPr>
      <t xml:space="preserve">가정 </t>
    </r>
    <r>
      <rPr>
        <b val="true"/>
        <sz val="10"/>
        <rFont val="Arial"/>
        <family val="0"/>
        <charset val="1"/>
      </rPr>
      <t xml:space="preserve">(</t>
    </r>
    <r>
      <rPr>
        <b val="true"/>
        <sz val="10"/>
        <rFont val="PingFang SC"/>
        <family val="2"/>
      </rPr>
      <t xml:space="preserve">정합 완료</t>
    </r>
    <r>
      <rPr>
        <b val="true"/>
        <sz val="10"/>
        <rFont val="Arial"/>
        <family val="0"/>
        <charset val="1"/>
      </rPr>
      <t xml:space="preserve">)</t>
    </r>
  </si>
  <si>
    <r>
      <rPr>
        <sz val="10"/>
        <rFont val="Arial"/>
        <family val="0"/>
        <charset val="1"/>
      </rPr>
      <t xml:space="preserve">Pre-A ₩10-20</t>
    </r>
    <r>
      <rPr>
        <sz val="10"/>
        <rFont val="PingFang SC"/>
        <family val="2"/>
      </rPr>
      <t xml:space="preserve">억 → 정부지원 </t>
    </r>
    <r>
      <rPr>
        <sz val="10"/>
        <rFont val="Arial"/>
        <family val="0"/>
        <charset val="1"/>
      </rPr>
      <t xml:space="preserve">+ </t>
    </r>
    <r>
      <rPr>
        <sz val="10"/>
        <rFont val="PingFang SC"/>
        <family val="2"/>
      </rPr>
      <t xml:space="preserve">사무실 무료 조합으로 </t>
    </r>
    <r>
      <rPr>
        <sz val="10"/>
        <rFont val="Arial"/>
        <family val="0"/>
        <charset val="1"/>
      </rPr>
      <t xml:space="preserve">BEP (M24) </t>
    </r>
    <r>
      <rPr>
        <sz val="10"/>
        <rFont val="PingFang SC"/>
        <family val="2"/>
      </rPr>
      <t xml:space="preserve">도달</t>
    </r>
  </si>
  <si>
    <t xml:space="preserve">→ Korean Pre-A 표준 영역 정합 (₩10-30억 평균) + dilution 10-15%</t>
  </si>
  <si>
    <t xml:space="preserve">재사이즈 history</t>
  </si>
  <si>
    <t xml:space="preserve">원안 ₩60-100억 (oversized) → 1차 ₩30-40억 (BEP_Runway §E reconciliation) → 2차 ₩10-20억 (CEO 결정 PR #38)</t>
  </si>
  <si>
    <t xml:space="preserve">→ 자본 효율 4배·dilution 1/4</t>
  </si>
  <si>
    <t xml:space="preserve">신규 narrative</t>
  </si>
  <si>
    <r>
      <rPr>
        <sz val="10"/>
        <rFont val="Arial"/>
        <family val="0"/>
        <charset val="1"/>
      </rPr>
      <t xml:space="preserve">Pre-A ₩10-20</t>
    </r>
    <r>
      <rPr>
        <sz val="10"/>
        <rFont val="PingFang SC"/>
        <family val="2"/>
      </rPr>
      <t xml:space="preserve">억 </t>
    </r>
    <r>
      <rPr>
        <sz val="10"/>
        <rFont val="Arial"/>
        <family val="0"/>
        <charset val="1"/>
      </rPr>
      <t xml:space="preserve">= </t>
    </r>
    <r>
      <rPr>
        <sz val="10"/>
        <rFont val="PingFang SC"/>
        <family val="2"/>
      </rPr>
      <t xml:space="preserve">마케팅</t>
    </r>
    <r>
      <rPr>
        <sz val="10"/>
        <rFont val="Arial"/>
        <family val="0"/>
        <charset val="1"/>
      </rPr>
      <t xml:space="preserve">·UAE </t>
    </r>
    <r>
      <rPr>
        <sz val="10"/>
        <rFont val="PingFang SC"/>
        <family val="2"/>
      </rPr>
      <t xml:space="preserve">진출 외 비용 </t>
    </r>
    <r>
      <rPr>
        <sz val="10"/>
        <rFont val="Arial"/>
        <family val="0"/>
        <charset val="1"/>
      </rPr>
      <t xml:space="preserve">(</t>
    </r>
    <r>
      <rPr>
        <sz val="10"/>
        <rFont val="PingFang SC"/>
        <family val="2"/>
      </rPr>
      <t xml:space="preserve">정부지원으로 인력</t>
    </r>
    <r>
      <rPr>
        <sz val="10"/>
        <rFont val="Arial"/>
        <family val="0"/>
        <charset val="1"/>
      </rPr>
      <t xml:space="preserve">·</t>
    </r>
    <r>
      <rPr>
        <sz val="10"/>
        <rFont val="PingFang SC"/>
        <family val="2"/>
      </rPr>
      <t xml:space="preserve">기술 </t>
    </r>
    <r>
      <rPr>
        <sz val="10"/>
        <rFont val="Arial"/>
        <family val="0"/>
        <charset val="1"/>
      </rPr>
      <t xml:space="preserve">cover) — </t>
    </r>
    <r>
      <rPr>
        <sz val="10"/>
        <rFont val="PingFang SC"/>
        <family val="2"/>
      </rPr>
      <t xml:space="preserve">보수적 </t>
    </r>
    <r>
      <rPr>
        <sz val="10"/>
        <rFont val="Arial"/>
        <family val="0"/>
        <charset val="1"/>
      </rPr>
      <t xml:space="preserve">sizing + </t>
    </r>
    <r>
      <rPr>
        <sz val="10"/>
        <rFont val="PingFang SC"/>
        <family val="2"/>
      </rPr>
      <t xml:space="preserve">자본 효율 시그널</t>
    </r>
  </si>
  <si>
    <r>
      <rPr>
        <i val="true"/>
        <sz val="9"/>
        <color rgb="FF8B5A2B"/>
        <rFont val="Arial"/>
        <family val="0"/>
        <charset val="1"/>
      </rPr>
      <t xml:space="preserve">→ VC </t>
    </r>
    <r>
      <rPr>
        <i val="true"/>
        <sz val="9"/>
        <color rgb="FF8B5A2B"/>
        <rFont val="PingFang SC"/>
        <family val="2"/>
      </rPr>
      <t xml:space="preserve">협상 마찰 ↓</t>
    </r>
    <r>
      <rPr>
        <i val="true"/>
        <sz val="9"/>
        <color rgb="FF8B5A2B"/>
        <rFont val="Arial"/>
        <family val="0"/>
        <charset val="1"/>
      </rPr>
      <t xml:space="preserve">·Series A (2027.Q4 ₩150-300</t>
    </r>
    <r>
      <rPr>
        <i val="true"/>
        <sz val="9"/>
        <color rgb="FF8B5A2B"/>
        <rFont val="PingFang SC"/>
        <family val="2"/>
      </rPr>
      <t xml:space="preserve">억</t>
    </r>
    <r>
      <rPr>
        <i val="true"/>
        <sz val="9"/>
        <color rgb="FF8B5A2B"/>
        <rFont val="Arial"/>
        <family val="0"/>
        <charset val="1"/>
      </rPr>
      <t xml:space="preserve">) </t>
    </r>
    <r>
      <rPr>
        <i val="true"/>
        <sz val="9"/>
        <color rgb="FF8B5A2B"/>
        <rFont val="PingFang SC"/>
        <family val="2"/>
      </rPr>
      <t xml:space="preserve">협상력 확보</t>
    </r>
  </si>
  <si>
    <t xml:space="preserve">📌 권장 (정합 후): VC 미팅 시 narrative — "한국 Pre-A 표준 영역 + 정부지원 우선 + 사무실 무료 = 자본 효율 시그널"</t>
  </si>
  <si>
    <t xml:space="preserve">────────────────────────────────────────────────────────────</t>
  </si>
  <si>
    <t xml:space="preserve">연관: BUSINESS_STRATEGY_사업전략.md §6-4 (BEP) · §9-2 (시나리오) · IR_PITCH_DECK_v3 Slide 12·15</t>
  </si>
  <si>
    <t xml:space="preserve">🎯 Sensitivity — 매출 민감도 분석 매트릭스 (AOV × Volume)
[원본 제목: Sensitivity Analysis — 민감도 분석 (AOV · Average Order Value × Volume)]
목적: AOV(객단가)와 Volume(주문량)의 가정 변동이 3년 누적 매출에 미치는 영향을 매트릭스로 시각화. 가장 민감한 변수 식별.
얻을 수 있는 정보: AOV(USD) 시나리오 × Volume 배수 조합별 3년 누적 마이다미 매출(KRW).
보는 법: 행=AOV 시나리오($30~$80) · 열=Volume 배수(0.5x~2x). 셀=3년 누적 매출. 베이스 시나리오(AOV $50, Volume 1x) 대비 다른 셀과의 차이 확인. AOV 1단위 변화 vs Volume 1단계 변화 비교 → 어느 변수가 더 민감한지 판단 → 마케팅·가격 전략 우선순위 결정.</t>
  </si>
  <si>
    <r>
      <rPr>
        <sz val="11"/>
        <color theme="1"/>
        <rFont val="Calibri"/>
        <family val="2"/>
        <charset val="1"/>
      </rPr>
      <t xml:space="preserve">3-Year Cumulative Damii Revenue — 3</t>
    </r>
    <r>
      <rPr>
        <sz val="11"/>
        <color theme="1"/>
        <rFont val="PingFang SC"/>
        <family val="2"/>
      </rPr>
      <t xml:space="preserve">년 누적 매출 </t>
    </r>
    <r>
      <rPr>
        <sz val="11"/>
        <color theme="1"/>
        <rFont val="Calibri"/>
        <family val="2"/>
        <charset val="1"/>
      </rPr>
      <t xml:space="preserve">(KRW) — AOV (</t>
    </r>
    <r>
      <rPr>
        <sz val="11"/>
        <color theme="1"/>
        <rFont val="PingFang SC"/>
        <family val="2"/>
      </rPr>
      <t xml:space="preserve">행</t>
    </r>
    <r>
      <rPr>
        <sz val="11"/>
        <color theme="1"/>
        <rFont val="Calibri"/>
        <family val="2"/>
        <charset val="1"/>
      </rPr>
      <t xml:space="preserve">) × Volume Multiplier (</t>
    </r>
    <r>
      <rPr>
        <sz val="11"/>
        <color theme="1"/>
        <rFont val="PingFang SC"/>
        <family val="2"/>
      </rPr>
      <t xml:space="preserve">열</t>
    </r>
    <r>
      <rPr>
        <sz val="11"/>
        <color theme="1"/>
        <rFont val="Calibri"/>
        <family val="2"/>
        <charset val="1"/>
      </rPr>
      <t xml:space="preserve">)</t>
    </r>
  </si>
  <si>
    <r>
      <rPr>
        <b val="true"/>
        <sz val="11"/>
        <color rgb="FF9F402D"/>
        <rFont val="Arial"/>
        <family val="0"/>
        <charset val="1"/>
      </rPr>
      <t xml:space="preserve">3-Year Cumulative Damii Revenue (KRW) — AOV (</t>
    </r>
    <r>
      <rPr>
        <b val="true"/>
        <sz val="11"/>
        <color rgb="FF9F402D"/>
        <rFont val="PingFang SC"/>
        <family val="2"/>
      </rPr>
      <t xml:space="preserve">행</t>
    </r>
    <r>
      <rPr>
        <b val="true"/>
        <sz val="11"/>
        <color rgb="FF9F402D"/>
        <rFont val="Arial"/>
        <family val="0"/>
        <charset val="1"/>
      </rPr>
      <t xml:space="preserve">) × Volume Multiplier (</t>
    </r>
    <r>
      <rPr>
        <b val="true"/>
        <sz val="11"/>
        <color rgb="FF9F402D"/>
        <rFont val="PingFang SC"/>
        <family val="2"/>
      </rPr>
      <t xml:space="preserve">열</t>
    </r>
    <r>
      <rPr>
        <b val="true"/>
        <sz val="11"/>
        <color rgb="FF9F402D"/>
        <rFont val="Arial"/>
        <family val="0"/>
        <charset val="1"/>
      </rPr>
      <t xml:space="preserve">)</t>
    </r>
  </si>
  <si>
    <t xml:space="preserve">AOV (USD) ↓ / Volume Multiplier →</t>
  </si>
  <si>
    <t xml:space="preserve">💡 해석: 노란 셀 = base case (AOV $50 / vm 1.0). 좌상단 = 보수, 우하단 = 공격</t>
  </si>
  <si>
    <t xml:space="preserve">시나리오 라벨링</t>
  </si>
  <si>
    <t xml:space="preserve">AOV $30 × Volume 0.5x</t>
  </si>
  <si>
    <r>
      <rPr>
        <sz val="10"/>
        <color rgb="FF000000"/>
        <rFont val="Arial"/>
        <family val="0"/>
        <charset val="1"/>
      </rPr>
      <t xml:space="preserve">B6 </t>
    </r>
    <r>
      <rPr>
        <sz val="10"/>
        <color rgb="FF000000"/>
        <rFont val="PingFang SC"/>
        <family val="2"/>
      </rPr>
      <t xml:space="preserve">셀 </t>
    </r>
    <r>
      <rPr>
        <sz val="10"/>
        <color rgb="FF000000"/>
        <rFont val="Arial"/>
        <family val="0"/>
        <charset val="1"/>
      </rPr>
      <t xml:space="preserve">(</t>
    </r>
    <r>
      <rPr>
        <sz val="10"/>
        <color rgb="FF000000"/>
        <rFont val="PingFang SC"/>
        <family val="2"/>
      </rPr>
      <t xml:space="preserve">좌상단 최보수</t>
    </r>
    <r>
      <rPr>
        <sz val="10"/>
        <color rgb="FF000000"/>
        <rFont val="Arial"/>
        <family val="0"/>
        <charset val="1"/>
      </rPr>
      <t xml:space="preserve">)</t>
    </r>
  </si>
  <si>
    <t xml:space="preserve">시장 검증 실패 시</t>
  </si>
  <si>
    <t xml:space="preserve">AOV $50 × Volume 1.0x</t>
  </si>
  <si>
    <r>
      <rPr>
        <sz val="10"/>
        <color rgb="FF000000"/>
        <rFont val="Arial"/>
        <family val="0"/>
        <charset val="1"/>
      </rPr>
      <t xml:space="preserve">D8 </t>
    </r>
    <r>
      <rPr>
        <sz val="10"/>
        <color rgb="FF000000"/>
        <rFont val="PingFang SC"/>
        <family val="2"/>
      </rPr>
      <t xml:space="preserve">셀 </t>
    </r>
    <r>
      <rPr>
        <sz val="10"/>
        <color rgb="FF000000"/>
        <rFont val="Arial"/>
        <family val="0"/>
        <charset val="1"/>
      </rPr>
      <t xml:space="preserve">(Base case ⭐)</t>
    </r>
  </si>
  <si>
    <t xml:space="preserve">계획 시나리오</t>
  </si>
  <si>
    <t xml:space="preserve">AOV $80 × Volume 1.5x</t>
  </si>
  <si>
    <r>
      <rPr>
        <sz val="10"/>
        <color rgb="FF000000"/>
        <rFont val="Arial"/>
        <family val="0"/>
        <charset val="1"/>
      </rPr>
      <t xml:space="preserve">F10 </t>
    </r>
    <r>
      <rPr>
        <sz val="10"/>
        <color rgb="FF000000"/>
        <rFont val="PingFang SC"/>
        <family val="2"/>
      </rPr>
      <t xml:space="preserve">셀 </t>
    </r>
    <r>
      <rPr>
        <sz val="10"/>
        <color rgb="FF000000"/>
        <rFont val="Arial"/>
        <family val="0"/>
        <charset val="1"/>
      </rPr>
      <t xml:space="preserve">(</t>
    </r>
    <r>
      <rPr>
        <sz val="10"/>
        <color rgb="FF000000"/>
        <rFont val="PingFang SC"/>
        <family val="2"/>
      </rPr>
      <t xml:space="preserve">공격</t>
    </r>
    <r>
      <rPr>
        <sz val="10"/>
        <color rgb="FF000000"/>
        <rFont val="Arial"/>
        <family val="0"/>
        <charset val="1"/>
      </rPr>
      <t xml:space="preserve">)</t>
    </r>
  </si>
  <si>
    <r>
      <rPr>
        <i val="true"/>
        <sz val="10"/>
        <color rgb="FF56423E"/>
        <rFont val="Arial"/>
        <family val="0"/>
        <charset val="1"/>
      </rPr>
      <t xml:space="preserve">Anchor 5+ </t>
    </r>
    <r>
      <rPr>
        <i val="true"/>
        <sz val="10"/>
        <color rgb="FF56423E"/>
        <rFont val="PingFang SC"/>
        <family val="2"/>
      </rPr>
      <t xml:space="preserve">동시 라이브 시</t>
    </r>
  </si>
  <si>
    <t xml:space="preserve">AOV $100 × Volume 2.0x</t>
  </si>
  <si>
    <r>
      <rPr>
        <sz val="10"/>
        <color rgb="FF000000"/>
        <rFont val="Arial"/>
        <family val="0"/>
        <charset val="1"/>
      </rPr>
      <t xml:space="preserve">G11 </t>
    </r>
    <r>
      <rPr>
        <sz val="10"/>
        <color rgb="FF000000"/>
        <rFont val="PingFang SC"/>
        <family val="2"/>
      </rPr>
      <t xml:space="preserve">셀 </t>
    </r>
    <r>
      <rPr>
        <sz val="10"/>
        <color rgb="FF000000"/>
        <rFont val="Arial"/>
        <family val="0"/>
        <charset val="1"/>
      </rPr>
      <t xml:space="preserve">(best case)</t>
    </r>
  </si>
  <si>
    <r>
      <rPr>
        <i val="true"/>
        <sz val="10"/>
        <color rgb="FF56423E"/>
        <rFont val="Arial"/>
        <family val="0"/>
        <charset val="1"/>
      </rPr>
      <t xml:space="preserve">GCC </t>
    </r>
    <r>
      <rPr>
        <i val="true"/>
        <sz val="10"/>
        <color rgb="FF56423E"/>
        <rFont val="PingFang SC"/>
        <family val="2"/>
      </rPr>
      <t xml:space="preserve">조기 진입 </t>
    </r>
    <r>
      <rPr>
        <i val="true"/>
        <sz val="10"/>
        <color rgb="FF56423E"/>
        <rFont val="Arial"/>
        <family val="0"/>
        <charset val="1"/>
      </rPr>
      <t xml:space="preserve">+ </t>
    </r>
    <r>
      <rPr>
        <i val="true"/>
        <sz val="10"/>
        <color rgb="FF56423E"/>
        <rFont val="PingFang SC"/>
        <family val="2"/>
      </rPr>
      <t xml:space="preserve">럭셔리 </t>
    </r>
    <r>
      <rPr>
        <i val="true"/>
        <sz val="10"/>
        <color rgb="FF56423E"/>
        <rFont val="Arial"/>
        <family val="0"/>
        <charset val="1"/>
      </rPr>
      <t xml:space="preserve">SKU </t>
    </r>
    <r>
      <rPr>
        <i val="true"/>
        <sz val="10"/>
        <color rgb="FF56423E"/>
        <rFont val="PingFang SC"/>
        <family val="2"/>
      </rPr>
      <t xml:space="preserve">비중 ↑</t>
    </r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</si>
</sst>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"/>
    <numFmt numFmtId="166" formatCode="\$#,##0"/>
    <numFmt numFmtId="167" formatCode="0.0%"/>
    <numFmt numFmtId="168" formatCode="0"/>
    <numFmt numFmtId="169" formatCode="\₩#,##0"/>
    <numFmt numFmtId="170" formatCode="\$#,##0.00"/>
    <numFmt numFmtId="171" formatCode="#,##0;\(#,##0\)"/>
    <numFmt numFmtId="172" formatCode="0.0%;\(0.0%\);\-"/>
    <numFmt numFmtId="173" formatCode="#,##0;\-;\-"/>
    <numFmt numFmtId="174" formatCode="\₩#,##0"/>
    <numFmt numFmtId="175" formatCode="#,##0;\(#,##0\);\-"/>
    <numFmt numFmtId="176" formatCode="0.0"/>
    <numFmt numFmtId="177" formatCode="0.00\x"/>
  </numFmts>
  <fonts count="7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9F402D"/>
      <name val="Arial"/>
      <family val="0"/>
      <charset val="1"/>
    </font>
    <font>
      <i val="true"/>
      <sz val="10"/>
      <color rgb="FF56423E"/>
      <name val="Arial"/>
      <family val="0"/>
      <charset val="1"/>
    </font>
    <font>
      <i val="true"/>
      <sz val="10"/>
      <color rgb="FF56423E"/>
      <name val="PingFang SC"/>
      <family val="2"/>
    </font>
    <font>
      <b val="true"/>
      <sz val="11"/>
      <color rgb="FF9F402D"/>
      <name val="Arial"/>
      <family val="0"/>
      <charset val="1"/>
    </font>
    <font>
      <b val="true"/>
      <sz val="11"/>
      <color rgb="FF9F402D"/>
      <name val="PingFang SC"/>
      <family val="2"/>
    </font>
    <font>
      <b val="true"/>
      <sz val="10"/>
      <name val="PingFang SC"/>
      <family val="2"/>
      <charset val="1"/>
    </font>
    <font>
      <sz val="10"/>
      <name val="Arial"/>
      <family val="0"/>
      <charset val="1"/>
    </font>
    <font>
      <sz val="10"/>
      <name val="PingFang SC"/>
      <family val="2"/>
    </font>
    <font>
      <sz val="10"/>
      <name val="PingFang SC"/>
      <family val="2"/>
      <charset val="1"/>
    </font>
    <font>
      <b val="true"/>
      <sz val="10"/>
      <name val="Arial"/>
      <family val="0"/>
      <charset val="1"/>
    </font>
    <font>
      <sz val="11"/>
      <color theme="1"/>
      <name val="PingFang SC"/>
      <family val="2"/>
      <charset val="1"/>
    </font>
    <font>
      <i val="true"/>
      <sz val="10"/>
      <color rgb="FFC27A1E"/>
      <name val="PingFang SC"/>
      <family val="2"/>
      <charset val="1"/>
    </font>
    <font>
      <i val="true"/>
      <sz val="10"/>
      <color rgb="FF9F402D"/>
      <name val="Arial"/>
      <family val="0"/>
      <charset val="1"/>
    </font>
    <font>
      <i val="true"/>
      <sz val="10"/>
      <color rgb="FF9F402D"/>
      <name val="PingFang SC"/>
      <family val="2"/>
    </font>
    <font>
      <b val="true"/>
      <sz val="10"/>
      <color rgb="FF9F402D"/>
      <name val="Arial"/>
      <family val="0"/>
      <charset val="1"/>
    </font>
    <font>
      <b val="true"/>
      <sz val="10"/>
      <color rgb="FF9F402D"/>
      <name val="PingFang SC"/>
      <family val="2"/>
    </font>
    <font>
      <b val="true"/>
      <sz val="10"/>
      <color rgb="FFFFFFFF"/>
      <name val="PingFang SC"/>
      <family val="2"/>
      <charset val="1"/>
    </font>
    <font>
      <i val="true"/>
      <sz val="9"/>
      <color rgb="FFC27A1E"/>
      <name val="PingFang SC"/>
      <family val="2"/>
      <charset val="1"/>
    </font>
    <font>
      <b val="true"/>
      <sz val="11"/>
      <name val="Cambria"/>
      <family val="0"/>
      <charset val="1"/>
    </font>
    <font>
      <b val="true"/>
      <sz val="11"/>
      <name val="PingFang SC"/>
      <family val="2"/>
    </font>
    <font>
      <sz val="11"/>
      <color theme="1"/>
      <name val="PingFang SC"/>
      <family val="2"/>
    </font>
    <font>
      <b val="true"/>
      <sz val="11"/>
      <name val="Arial"/>
      <family val="0"/>
      <charset val="1"/>
    </font>
    <font>
      <b val="true"/>
      <sz val="12"/>
      <color rgb="FF9F402D"/>
      <name val="맑은 고딕"/>
      <family val="0"/>
      <charset val="1"/>
    </font>
    <font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i val="true"/>
      <sz val="9"/>
      <color rgb="FF56423E"/>
      <name val="Arial"/>
      <family val="0"/>
      <charset val="1"/>
    </font>
    <font>
      <i val="true"/>
      <sz val="9"/>
      <color rgb="FF56423E"/>
      <name val="PingFang SC"/>
      <family val="2"/>
    </font>
    <font>
      <sz val="10"/>
      <color rgb="FF000000"/>
      <name val="PingFang SC"/>
      <family val="2"/>
    </font>
    <font>
      <i val="true"/>
      <sz val="9"/>
      <color rgb="FF56423E"/>
      <name val="Arial"/>
      <family val="2"/>
      <charset val="1"/>
    </font>
    <font>
      <sz val="10"/>
      <color rgb="FF000000"/>
      <name val="PingFang SC"/>
      <family val="2"/>
      <charset val="1"/>
    </font>
    <font>
      <sz val="11"/>
      <color rgb="FF0000FF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0"/>
      <color rgb="FFFFFFFF"/>
      <name val="PingFang SC"/>
      <family val="2"/>
    </font>
    <font>
      <b val="true"/>
      <sz val="10"/>
      <color rgb="FFFFFFFF"/>
      <name val="Arial"/>
      <family val="0"/>
      <charset val="1"/>
    </font>
    <font>
      <sz val="9"/>
      <color rgb="FF666666"/>
      <name val="Arial"/>
      <family val="0"/>
      <charset val="1"/>
    </font>
    <font>
      <sz val="9"/>
      <color rgb="FF666666"/>
      <name val="PingFang SC"/>
      <family val="2"/>
    </font>
    <font>
      <b val="true"/>
      <sz val="9"/>
      <name val="Arial"/>
      <family val="0"/>
      <charset val="1"/>
    </font>
    <font>
      <b val="true"/>
      <sz val="9"/>
      <name val="PingFang SC"/>
      <family val="2"/>
    </font>
    <font>
      <i val="true"/>
      <sz val="9"/>
      <name val="Arial"/>
      <family val="0"/>
      <charset val="1"/>
    </font>
    <font>
      <i val="true"/>
      <sz val="9"/>
      <name val="PingFang SC"/>
      <family val="2"/>
    </font>
    <font>
      <i val="true"/>
      <sz val="9"/>
      <color rgb="FF8B5A2B"/>
      <name val="Arial"/>
      <family val="0"/>
      <charset val="1"/>
    </font>
    <font>
      <i val="true"/>
      <sz val="9"/>
      <color rgb="FF8B5A2B"/>
      <name val="PingFang SC"/>
      <family val="2"/>
    </font>
    <font>
      <b val="true"/>
      <sz val="11"/>
      <color rgb="FF9F402D"/>
      <name val="PingFang SC"/>
      <family val="2"/>
      <charset val="1"/>
    </font>
    <font>
      <b val="true"/>
      <sz val="11"/>
      <color rgb="FFFFFFFF"/>
      <name val="Arial"/>
      <family val="0"/>
      <charset val="1"/>
    </font>
    <font>
      <sz val="10"/>
      <color rgb="FF008000"/>
      <name val="Arial"/>
      <family val="0"/>
      <charset val="1"/>
    </font>
    <font>
      <b val="true"/>
      <sz val="10"/>
      <name val="PingFang SC"/>
      <family val="2"/>
    </font>
    <font>
      <sz val="10"/>
      <color rgb="FF56423E"/>
      <name val="PingFang SC"/>
      <family val="2"/>
      <charset val="1"/>
    </font>
    <font>
      <sz val="10"/>
      <color rgb="FF56423E"/>
      <name val="Arial"/>
      <family val="0"/>
      <charset val="1"/>
    </font>
    <font>
      <sz val="10"/>
      <color rgb="FF56423E"/>
      <name val="PingFang SC"/>
      <family val="2"/>
    </font>
    <font>
      <b val="true"/>
      <sz val="11"/>
      <color rgb="FFFFFFFF"/>
      <name val="PingFang SC"/>
      <family val="2"/>
    </font>
    <font>
      <b val="true"/>
      <sz val="11"/>
      <color rgb="FFFFFFFF"/>
      <name val="PingFang SC"/>
      <family val="2"/>
      <charset val="1"/>
    </font>
    <font>
      <sz val="10"/>
      <color rgb="FF0000FF"/>
      <name val="PingFang SC"/>
      <family val="2"/>
    </font>
    <font>
      <b val="true"/>
      <sz val="10"/>
      <color rgb="FF9F402D"/>
      <name val="PingFang SC"/>
      <family val="2"/>
      <charset val="1"/>
    </font>
    <font>
      <i val="true"/>
      <sz val="9"/>
      <color rgb="FF8B5A2B"/>
      <name val="PingFang SC"/>
      <family val="2"/>
      <charset val="1"/>
    </font>
    <font>
      <i val="true"/>
      <sz val="11"/>
      <color rgb="FF8B5A2B"/>
      <name val="PingFang SC"/>
      <family val="2"/>
    </font>
    <font>
      <i val="true"/>
      <sz val="11"/>
      <color rgb="FF8B5A2B"/>
      <name val="Arial"/>
      <family val="0"/>
      <charset val="1"/>
    </font>
    <font>
      <i val="true"/>
      <sz val="9"/>
      <color rgb="FF666666"/>
      <name val="PingFang SC"/>
      <family val="2"/>
    </font>
    <font>
      <i val="true"/>
      <sz val="9"/>
      <color rgb="FF666666"/>
      <name val="Arial"/>
      <family val="0"/>
      <charset val="1"/>
    </font>
    <font>
      <i val="true"/>
      <sz val="10"/>
      <color rgb="FF56423E"/>
      <name val="PingFang SC"/>
      <family val="2"/>
      <charset val="1"/>
    </font>
    <font>
      <i val="true"/>
      <sz val="9"/>
      <color rgb="FFC27A1E"/>
      <name val="Arial"/>
      <family val="0"/>
      <charset val="1"/>
    </font>
    <font>
      <i val="true"/>
      <sz val="9"/>
      <color rgb="FFC27A1E"/>
      <name val="PingFang SC"/>
      <family val="2"/>
    </font>
    <font>
      <i val="true"/>
      <sz val="9"/>
      <name val="PingFang SC"/>
      <family val="2"/>
      <charset val="1"/>
    </font>
    <font>
      <i val="true"/>
      <sz val="9"/>
      <color rgb="FF9F402D"/>
      <name val="PingFang SC"/>
      <family val="2"/>
      <charset val="1"/>
    </font>
    <font>
      <b val="true"/>
      <sz val="14"/>
      <color rgb="FF9F402D"/>
      <name val="Arial"/>
      <family val="0"/>
      <charset val="1"/>
    </font>
    <font>
      <b val="true"/>
      <sz val="14"/>
      <color rgb="FF9F402D"/>
      <name val="PingFang SC"/>
      <family val="2"/>
    </font>
    <font>
      <b val="true"/>
      <sz val="12"/>
      <color rgb="FF9F402D"/>
      <name val="Arial"/>
      <family val="0"/>
      <charset val="1"/>
    </font>
    <font>
      <b val="true"/>
      <sz val="12"/>
      <color rgb="FF9F402D"/>
      <name val="PingFang SC"/>
      <family val="2"/>
    </font>
    <font>
      <sz val="11"/>
      <color rgb="FF008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sz val="11"/>
      <name val="PingFang SC"/>
      <family val="2"/>
      <charset val="1"/>
    </font>
    <font>
      <b val="true"/>
      <sz val="11"/>
      <name val="PingFang SC"/>
      <family val="2"/>
      <charset val="1"/>
    </font>
    <font>
      <sz val="11"/>
      <color rgb="FF000000"/>
      <name val="PingFang SC"/>
      <family val="2"/>
      <charset val="1"/>
    </font>
    <font>
      <sz val="11"/>
      <name val="Arial"/>
      <family val="0"/>
      <charset val="1"/>
    </font>
    <font>
      <i val="true"/>
      <sz val="9"/>
      <color rgb="FF666666"/>
      <name val="PingFang SC"/>
      <family val="2"/>
      <charset val="1"/>
    </font>
    <font>
      <b val="true"/>
      <i val="true"/>
      <sz val="10"/>
      <color rgb="FF9F402D"/>
      <name val="PingFang SC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FFDAD3"/>
        <bgColor rgb="FFFFE9C9"/>
      </patternFill>
    </fill>
    <fill>
      <patternFill patternType="solid">
        <fgColor rgb="FF9F402D"/>
        <bgColor rgb="FF993366"/>
      </patternFill>
    </fill>
    <fill>
      <patternFill patternType="solid">
        <fgColor rgb="FFFFEAE3"/>
        <bgColor rgb="FFFFE9C9"/>
      </patternFill>
    </fill>
    <fill>
      <patternFill patternType="solid">
        <fgColor rgb="FFFFFF00"/>
        <bgColor rgb="FFFFFF00"/>
      </patternFill>
    </fill>
    <fill>
      <patternFill patternType="solid">
        <fgColor rgb="FFFFE9C9"/>
        <bgColor rgb="FFFFF3C2"/>
      </patternFill>
    </fill>
    <fill>
      <patternFill patternType="solid">
        <fgColor rgb="FFD9F0D9"/>
        <bgColor rgb="FFD9E7CE"/>
      </patternFill>
    </fill>
    <fill>
      <patternFill patternType="solid">
        <fgColor rgb="FFD9E8F7"/>
        <bgColor rgb="FFD9F0D9"/>
      </patternFill>
    </fill>
    <fill>
      <patternFill patternType="solid">
        <fgColor rgb="FFF0E0F7"/>
        <bgColor rgb="FFFFEAE3"/>
      </patternFill>
    </fill>
    <fill>
      <patternFill patternType="solid">
        <fgColor rgb="FFF5F3F1"/>
        <bgColor rgb="FFFFEAE3"/>
      </patternFill>
    </fill>
    <fill>
      <patternFill patternType="solid">
        <fgColor rgb="FFD9E7CE"/>
        <bgColor rgb="FFD9F0D9"/>
      </patternFill>
    </fill>
    <fill>
      <patternFill patternType="solid">
        <fgColor rgb="FFFFF3C2"/>
        <bgColor rgb="FFFFE9C9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6" fillId="4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8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28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2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8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8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34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3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1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7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4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2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4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2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3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3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4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3" fillId="1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3" fillId="11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2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4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4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3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4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4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3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6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2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3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6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4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2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3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7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34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7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34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6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7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3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47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4" fontId="54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8" fillId="1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7" fontId="47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47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B5A2B"/>
      <rgbColor rgb="FF800080"/>
      <rgbColor rgb="FF008080"/>
      <rgbColor rgb="FFD9E7CE"/>
      <rgbColor rgb="FF808080"/>
      <rgbColor rgb="FF9999FF"/>
      <rgbColor rgb="FF993366"/>
      <rgbColor rgb="FFFFF3C2"/>
      <rgbColor rgb="FFD9E8F7"/>
      <rgbColor rgb="FF660066"/>
      <rgbColor rgb="FFFF8080"/>
      <rgbColor rgb="FF0066CC"/>
      <rgbColor rgb="FFF0E0F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3F1"/>
      <rgbColor rgb="FFD9F0D9"/>
      <rgbColor rgb="FFFFE9C9"/>
      <rgbColor rgb="FFFFEAE3"/>
      <rgbColor rgb="FFFF99CC"/>
      <rgbColor rgb="FFCC99FF"/>
      <rgbColor rgb="FFFFDAD3"/>
      <rgbColor rgb="FF3366FF"/>
      <rgbColor rgb="FF33CCCC"/>
      <rgbColor rgb="FF99CC00"/>
      <rgbColor rgb="FFFFCC00"/>
      <rgbColor rgb="FFFF9900"/>
      <rgbColor rgb="FFC27A1E"/>
      <rgbColor rgb="FF666666"/>
      <rgbColor rgb="FF969696"/>
      <rgbColor rgb="FF003366"/>
      <rgbColor rgb="FF339966"/>
      <rgbColor rgb="FF003300"/>
      <rgbColor rgb="FF333300"/>
      <rgbColor rgb="FF9F402D"/>
      <rgbColor rgb="FF993366"/>
      <rgbColor rgb="FF333399"/>
      <rgbColor rgb="FF56423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88"/>
  <sheetViews>
    <sheetView showFormulas="false" showGridLines="true" showRowColHeaders="true" showZeros="true" rightToLeft="false" tabSelected="false" showOutlineSymbols="true" defaultGridColor="true" view="normal" topLeftCell="A17" colorId="64" zoomScale="125" zoomScaleNormal="125" zoomScalePageLayoutView="100" workbookViewId="0">
      <selection pane="topLeft" activeCell="B27" activeCellId="0" sqref="B27"/>
    </sheetView>
  </sheetViews>
  <sheetFormatPr defaultColWidth="8.66796875" defaultRowHeight="15" customHeight="false" zeroHeight="false" outlineLevelRow="0" outlineLevelCol="0"/>
  <cols>
    <col collapsed="false" customWidth="true" hidden="false" outlineLevel="0" max="1" min="1" style="1" width="28"/>
    <col collapsed="false" customWidth="true" hidden="false" outlineLevel="0" max="2" min="2" style="1" width="45"/>
    <col collapsed="false" customWidth="true" hidden="false" outlineLevel="0" max="6" min="3" style="1" width="15"/>
  </cols>
  <sheetData>
    <row r="1" customFormat="false" ht="24" hidden="false" customHeight="true" outlineLevel="0" collapsed="false">
      <c r="A1" s="2" t="s">
        <v>0</v>
      </c>
      <c r="B1" s="2"/>
      <c r="C1" s="2"/>
      <c r="D1" s="2"/>
      <c r="E1" s="2"/>
      <c r="F1" s="2"/>
    </row>
    <row r="2" customFormat="false" ht="15" hidden="false" customHeight="true" outlineLevel="0" collapsed="false">
      <c r="A2" s="3" t="s">
        <v>1</v>
      </c>
      <c r="B2" s="3"/>
      <c r="C2" s="3"/>
      <c r="D2" s="3"/>
      <c r="E2" s="3"/>
      <c r="F2" s="3"/>
    </row>
    <row r="4" customFormat="false" ht="16.5" hidden="false" customHeight="true" outlineLevel="0" collapsed="false">
      <c r="A4" s="4" t="s">
        <v>2</v>
      </c>
      <c r="B4" s="4"/>
      <c r="C4" s="4"/>
      <c r="D4" s="4"/>
      <c r="E4" s="4"/>
      <c r="F4" s="4"/>
    </row>
    <row r="6" customFormat="false" ht="15" hidden="false" customHeight="true" outlineLevel="0" collapsed="false">
      <c r="A6" s="5" t="s">
        <v>3</v>
      </c>
      <c r="B6" s="5" t="s">
        <v>4</v>
      </c>
    </row>
    <row r="7" customFormat="false" ht="15" hidden="false" customHeight="true" outlineLevel="0" collapsed="false">
      <c r="A7" s="6" t="s">
        <v>5</v>
      </c>
      <c r="B7" s="6" t="s">
        <v>6</v>
      </c>
    </row>
    <row r="8" customFormat="false" ht="15" hidden="false" customHeight="true" outlineLevel="0" collapsed="false">
      <c r="A8" s="6" t="s">
        <v>7</v>
      </c>
      <c r="B8" s="6" t="s">
        <v>8</v>
      </c>
    </row>
    <row r="9" customFormat="false" ht="15" hidden="false" customHeight="true" outlineLevel="0" collapsed="false">
      <c r="A9" s="6" t="s">
        <v>9</v>
      </c>
      <c r="B9" s="6" t="s">
        <v>10</v>
      </c>
    </row>
    <row r="10" customFormat="false" ht="15" hidden="false" customHeight="true" outlineLevel="0" collapsed="false">
      <c r="A10" s="7" t="s">
        <v>11</v>
      </c>
      <c r="B10" s="7" t="s">
        <v>12</v>
      </c>
    </row>
    <row r="11" customFormat="false" ht="15" hidden="false" customHeight="true" outlineLevel="0" collapsed="false">
      <c r="A11" s="7" t="s">
        <v>13</v>
      </c>
      <c r="B11" s="7" t="s">
        <v>14</v>
      </c>
    </row>
    <row r="12" customFormat="false" ht="15" hidden="false" customHeight="true" outlineLevel="0" collapsed="false">
      <c r="A12" s="6" t="s">
        <v>15</v>
      </c>
      <c r="B12" s="6" t="s">
        <v>16</v>
      </c>
    </row>
    <row r="13" customFormat="false" ht="15" hidden="false" customHeight="true" outlineLevel="0" collapsed="false">
      <c r="A13" s="6" t="s">
        <v>17</v>
      </c>
      <c r="B13" s="6" t="s">
        <v>18</v>
      </c>
    </row>
    <row r="14" customFormat="false" ht="15" hidden="false" customHeight="true" outlineLevel="0" collapsed="false">
      <c r="A14" s="6" t="s">
        <v>19</v>
      </c>
      <c r="B14" s="6" t="s">
        <v>20</v>
      </c>
    </row>
    <row r="15" customFormat="false" ht="15" hidden="false" customHeight="true" outlineLevel="0" collapsed="false">
      <c r="A15" s="6" t="s">
        <v>21</v>
      </c>
      <c r="B15" s="6" t="s">
        <v>22</v>
      </c>
    </row>
    <row r="16" customFormat="false" ht="15" hidden="false" customHeight="true" outlineLevel="0" collapsed="false">
      <c r="A16" s="6" t="s">
        <v>23</v>
      </c>
      <c r="B16" s="6" t="s">
        <v>24</v>
      </c>
    </row>
    <row r="17" customFormat="false" ht="15" hidden="false" customHeight="true" outlineLevel="0" collapsed="false">
      <c r="A17" s="7" t="s">
        <v>25</v>
      </c>
      <c r="B17" s="7" t="s">
        <v>26</v>
      </c>
    </row>
    <row r="18" customFormat="false" ht="15" hidden="false" customHeight="true" outlineLevel="0" collapsed="false">
      <c r="A18" s="7" t="s">
        <v>27</v>
      </c>
      <c r="B18" s="6" t="s">
        <v>28</v>
      </c>
    </row>
    <row r="19" customFormat="false" ht="15" hidden="false" customHeight="true" outlineLevel="0" collapsed="false">
      <c r="A19" s="6" t="s">
        <v>29</v>
      </c>
      <c r="B19" s="7" t="s">
        <v>30</v>
      </c>
    </row>
    <row r="20" customFormat="false" ht="15" hidden="false" customHeight="true" outlineLevel="0" collapsed="false">
      <c r="A20" s="6" t="s">
        <v>31</v>
      </c>
      <c r="B20" s="6" t="s">
        <v>32</v>
      </c>
    </row>
    <row r="22" customFormat="false" ht="16.5" hidden="false" customHeight="true" outlineLevel="0" collapsed="false">
      <c r="A22" s="4" t="s">
        <v>33</v>
      </c>
      <c r="B22" s="4"/>
      <c r="C22" s="4"/>
      <c r="D22" s="4"/>
      <c r="E22" s="4"/>
      <c r="F22" s="4"/>
    </row>
    <row r="24" customFormat="false" ht="15" hidden="false" customHeight="true" outlineLevel="0" collapsed="false">
      <c r="A24" s="8" t="s">
        <v>34</v>
      </c>
      <c r="B24" s="8" t="s">
        <v>35</v>
      </c>
      <c r="C24" s="5" t="s">
        <v>36</v>
      </c>
    </row>
    <row r="25" customFormat="false" ht="15" hidden="false" customHeight="true" outlineLevel="0" collapsed="false">
      <c r="A25" s="6" t="n">
        <v>1</v>
      </c>
      <c r="B25" s="6" t="s">
        <v>37</v>
      </c>
      <c r="C25" s="7" t="s">
        <v>38</v>
      </c>
    </row>
    <row r="26" customFormat="false" ht="15" hidden="false" customHeight="true" outlineLevel="0" collapsed="false">
      <c r="A26" s="6" t="n">
        <v>2</v>
      </c>
      <c r="B26" s="6" t="s">
        <v>39</v>
      </c>
      <c r="C26" s="7" t="s">
        <v>40</v>
      </c>
    </row>
    <row r="27" customFormat="false" ht="15" hidden="false" customHeight="true" outlineLevel="0" collapsed="false">
      <c r="A27" s="6" t="n">
        <v>3</v>
      </c>
      <c r="B27" s="6" t="s">
        <v>41</v>
      </c>
      <c r="C27" s="7" t="s">
        <v>42</v>
      </c>
    </row>
    <row r="28" customFormat="false" ht="15" hidden="false" customHeight="true" outlineLevel="0" collapsed="false">
      <c r="A28" s="6" t="n">
        <v>4</v>
      </c>
      <c r="B28" s="6" t="s">
        <v>43</v>
      </c>
      <c r="C28" s="6" t="s">
        <v>44</v>
      </c>
    </row>
    <row r="29" customFormat="false" ht="15" hidden="false" customHeight="true" outlineLevel="0" collapsed="false">
      <c r="A29" s="6" t="n">
        <v>5</v>
      </c>
      <c r="B29" s="6" t="s">
        <v>45</v>
      </c>
      <c r="C29" s="6" t="s">
        <v>46</v>
      </c>
    </row>
    <row r="30" customFormat="false" ht="15" hidden="false" customHeight="true" outlineLevel="0" collapsed="false">
      <c r="A30" s="6" t="n">
        <v>6</v>
      </c>
      <c r="B30" s="6" t="s">
        <v>47</v>
      </c>
      <c r="C30" s="7" t="s">
        <v>48</v>
      </c>
    </row>
    <row r="31" customFormat="false" ht="15" hidden="false" customHeight="true" outlineLevel="0" collapsed="false">
      <c r="A31" s="6" t="n">
        <v>7</v>
      </c>
      <c r="B31" s="6" t="s">
        <v>49</v>
      </c>
      <c r="C31" s="7" t="s">
        <v>50</v>
      </c>
    </row>
    <row r="32" customFormat="false" ht="15" hidden="false" customHeight="true" outlineLevel="0" collapsed="false">
      <c r="A32" s="6" t="n">
        <v>8</v>
      </c>
      <c r="B32" s="6" t="s">
        <v>51</v>
      </c>
      <c r="C32" s="6" t="s">
        <v>52</v>
      </c>
    </row>
    <row r="33" customFormat="false" ht="15" hidden="false" customHeight="true" outlineLevel="0" collapsed="false">
      <c r="A33" s="6" t="n">
        <v>9</v>
      </c>
      <c r="B33" s="6" t="s">
        <v>53</v>
      </c>
      <c r="C33" s="6" t="s">
        <v>54</v>
      </c>
    </row>
    <row r="34" customFormat="false" ht="16.5" hidden="false" customHeight="true" outlineLevel="0" collapsed="false">
      <c r="A34" s="1" t="n">
        <v>10</v>
      </c>
      <c r="B34" s="1" t="s">
        <v>55</v>
      </c>
      <c r="C34" s="9" t="s">
        <v>56</v>
      </c>
    </row>
    <row r="35" customFormat="false" ht="14.25" hidden="false" customHeight="true" outlineLevel="0" collapsed="false">
      <c r="A35" s="10" t="s">
        <v>57</v>
      </c>
      <c r="B35" s="10"/>
      <c r="C35" s="10"/>
      <c r="D35" s="10"/>
      <c r="E35" s="10"/>
      <c r="F35" s="10"/>
    </row>
    <row r="36" customFormat="false" ht="15" hidden="false" customHeight="true" outlineLevel="0" collapsed="false">
      <c r="A36" s="11" t="s">
        <v>58</v>
      </c>
      <c r="B36" s="11"/>
      <c r="C36" s="11"/>
      <c r="D36" s="11"/>
      <c r="E36" s="11"/>
      <c r="F36" s="11"/>
    </row>
    <row r="38" customFormat="false" ht="15" hidden="false" customHeight="true" outlineLevel="0" collapsed="false">
      <c r="A38" s="12" t="s">
        <v>59</v>
      </c>
    </row>
    <row r="39" customFormat="false" ht="15" hidden="false" customHeight="true" outlineLevel="0" collapsed="false">
      <c r="A39" s="13" t="s">
        <v>60</v>
      </c>
      <c r="B39" s="13" t="s">
        <v>61</v>
      </c>
      <c r="C39" s="13" t="s">
        <v>62</v>
      </c>
    </row>
    <row r="40" customFormat="false" ht="27.75" hidden="false" customHeight="true" outlineLevel="0" collapsed="false">
      <c r="A40" s="14" t="s">
        <v>63</v>
      </c>
      <c r="B40" s="15" t="s">
        <v>64</v>
      </c>
      <c r="C40" s="15" t="s">
        <v>65</v>
      </c>
    </row>
    <row r="41" customFormat="false" ht="15" hidden="false" customHeight="true" outlineLevel="0" collapsed="false">
      <c r="A41" s="15" t="s">
        <v>66</v>
      </c>
      <c r="B41" s="15" t="s">
        <v>67</v>
      </c>
      <c r="C41" s="15" t="s">
        <v>68</v>
      </c>
    </row>
    <row r="42" customFormat="false" ht="27.75" hidden="false" customHeight="true" outlineLevel="0" collapsed="false">
      <c r="A42" s="15" t="s">
        <v>69</v>
      </c>
      <c r="B42" s="15" t="s">
        <v>70</v>
      </c>
      <c r="C42" s="15" t="s">
        <v>71</v>
      </c>
    </row>
    <row r="43" customFormat="false" ht="27.75" hidden="false" customHeight="true" outlineLevel="0" collapsed="false">
      <c r="A43" s="15" t="s">
        <v>72</v>
      </c>
      <c r="B43" s="15" t="s">
        <v>73</v>
      </c>
      <c r="C43" s="15" t="s">
        <v>74</v>
      </c>
    </row>
    <row r="44" customFormat="false" ht="15" hidden="false" customHeight="true" outlineLevel="0" collapsed="false">
      <c r="A44" s="16" t="s">
        <v>75</v>
      </c>
    </row>
    <row r="46" customFormat="false" ht="16.5" hidden="false" customHeight="true" outlineLevel="0" collapsed="false">
      <c r="A46" s="17" t="s">
        <v>76</v>
      </c>
    </row>
    <row r="47" customFormat="false" ht="16.5" hidden="false" customHeight="true" outlineLevel="0" collapsed="false">
      <c r="A47" s="9" t="s">
        <v>77</v>
      </c>
    </row>
    <row r="48" customFormat="false" ht="16.5" hidden="false" customHeight="true" outlineLevel="0" collapsed="false">
      <c r="A48" s="1" t="s">
        <v>78</v>
      </c>
    </row>
    <row r="49" customFormat="false" ht="16.5" hidden="false" customHeight="true" outlineLevel="0" collapsed="false">
      <c r="A49" s="9" t="s">
        <v>79</v>
      </c>
    </row>
    <row r="50" customFormat="false" ht="16.5" hidden="false" customHeight="true" outlineLevel="0" collapsed="false">
      <c r="A50" s="9" t="s">
        <v>80</v>
      </c>
    </row>
    <row r="51" customFormat="false" ht="16.5" hidden="false" customHeight="true" outlineLevel="0" collapsed="false">
      <c r="A51" s="1" t="s">
        <v>81</v>
      </c>
    </row>
    <row r="52" customFormat="false" ht="16.5" hidden="false" customHeight="true" outlineLevel="0" collapsed="false">
      <c r="A52" s="9" t="s">
        <v>82</v>
      </c>
    </row>
    <row r="54" customFormat="false" ht="16.5" hidden="false" customHeight="true" outlineLevel="0" collapsed="false">
      <c r="A54" s="18" t="s">
        <v>83</v>
      </c>
    </row>
    <row r="55" customFormat="false" ht="16.5" hidden="false" customHeight="true" outlineLevel="0" collapsed="false">
      <c r="A55" s="9" t="s">
        <v>84</v>
      </c>
    </row>
    <row r="56" customFormat="false" ht="16.5" hidden="false" customHeight="true" outlineLevel="0" collapsed="false">
      <c r="A56" s="1" t="s">
        <v>85</v>
      </c>
    </row>
    <row r="57" customFormat="false" ht="16.5" hidden="false" customHeight="true" outlineLevel="0" collapsed="false">
      <c r="A57" s="1" t="s">
        <v>86</v>
      </c>
    </row>
    <row r="58" customFormat="false" ht="16.5" hidden="false" customHeight="true" outlineLevel="0" collapsed="false">
      <c r="A58" s="1" t="s">
        <v>87</v>
      </c>
    </row>
    <row r="59" customFormat="false" ht="16.5" hidden="false" customHeight="true" outlineLevel="0" collapsed="false">
      <c r="A59" s="1" t="s">
        <v>88</v>
      </c>
    </row>
    <row r="61" customFormat="false" ht="16.5" hidden="false" customHeight="true" outlineLevel="0" collapsed="false">
      <c r="A61" s="18" t="s">
        <v>89</v>
      </c>
    </row>
    <row r="62" customFormat="false" ht="16.5" hidden="false" customHeight="true" outlineLevel="0" collapsed="false">
      <c r="A62" s="1" t="s">
        <v>90</v>
      </c>
    </row>
    <row r="63" customFormat="false" ht="16.5" hidden="false" customHeight="true" outlineLevel="0" collapsed="false">
      <c r="A63" s="1" t="s">
        <v>91</v>
      </c>
    </row>
    <row r="64" customFormat="false" ht="16.5" hidden="false" customHeight="true" outlineLevel="0" collapsed="false">
      <c r="A64" s="1" t="s">
        <v>92</v>
      </c>
    </row>
    <row r="65" customFormat="false" ht="16.5" hidden="false" customHeight="true" outlineLevel="0" collapsed="false">
      <c r="A65" s="1" t="s">
        <v>93</v>
      </c>
    </row>
    <row r="67" customFormat="false" ht="16.5" hidden="false" customHeight="true" outlineLevel="0" collapsed="false">
      <c r="A67" s="18" t="s">
        <v>94</v>
      </c>
    </row>
    <row r="68" customFormat="false" ht="16.5" hidden="false" customHeight="true" outlineLevel="0" collapsed="false">
      <c r="A68" s="1" t="s">
        <v>95</v>
      </c>
    </row>
    <row r="69" customFormat="false" ht="16.5" hidden="false" customHeight="true" outlineLevel="0" collapsed="false">
      <c r="A69" s="1" t="s">
        <v>96</v>
      </c>
    </row>
    <row r="70" customFormat="false" ht="16.5" hidden="false" customHeight="true" outlineLevel="0" collapsed="false">
      <c r="A70" s="9" t="s">
        <v>97</v>
      </c>
    </row>
    <row r="71" customFormat="false" ht="16.5" hidden="false" customHeight="true" outlineLevel="0" collapsed="false">
      <c r="A71" s="1" t="s">
        <v>98</v>
      </c>
    </row>
    <row r="72" customFormat="false" ht="16.5" hidden="false" customHeight="true" outlineLevel="0" collapsed="false">
      <c r="A72" s="1" t="s">
        <v>99</v>
      </c>
    </row>
    <row r="74" customFormat="false" ht="16.5" hidden="false" customHeight="true" outlineLevel="0" collapsed="false">
      <c r="A74" s="18" t="s">
        <v>100</v>
      </c>
    </row>
    <row r="75" customFormat="false" ht="16.5" hidden="false" customHeight="true" outlineLevel="0" collapsed="false">
      <c r="A75" s="1" t="s">
        <v>101</v>
      </c>
    </row>
    <row r="76" customFormat="false" ht="16.5" hidden="false" customHeight="true" outlineLevel="0" collapsed="false">
      <c r="A76" s="1" t="s">
        <v>102</v>
      </c>
    </row>
    <row r="77" customFormat="false" ht="16.5" hidden="false" customHeight="true" outlineLevel="0" collapsed="false">
      <c r="A77" s="1" t="s">
        <v>103</v>
      </c>
    </row>
    <row r="78" customFormat="false" ht="16.5" hidden="false" customHeight="true" outlineLevel="0" collapsed="false">
      <c r="A78" s="1" t="s">
        <v>104</v>
      </c>
    </row>
    <row r="79" customFormat="false" ht="16.5" hidden="false" customHeight="true" outlineLevel="0" collapsed="false">
      <c r="A79" s="1" t="s">
        <v>105</v>
      </c>
    </row>
    <row r="80" customFormat="false" ht="16.5" hidden="false" customHeight="true" outlineLevel="0" collapsed="false">
      <c r="A80" s="1" t="s">
        <v>106</v>
      </c>
    </row>
    <row r="82" customFormat="false" ht="17.15" hidden="false" customHeight="false" outlineLevel="0" collapsed="false">
      <c r="A82" s="19" t="s">
        <v>107</v>
      </c>
    </row>
    <row r="83" customFormat="false" ht="17.15" hidden="false" customHeight="false" outlineLevel="0" collapsed="false">
      <c r="A83" s="1" t="s">
        <v>108</v>
      </c>
    </row>
    <row r="84" customFormat="false" ht="17.15" hidden="false" customHeight="false" outlineLevel="0" collapsed="false">
      <c r="A84" s="1" t="s">
        <v>109</v>
      </c>
    </row>
    <row r="85" customFormat="false" ht="17.15" hidden="false" customHeight="false" outlineLevel="0" collapsed="false">
      <c r="A85" s="1" t="s">
        <v>110</v>
      </c>
    </row>
    <row r="86" customFormat="false" ht="17.15" hidden="false" customHeight="false" outlineLevel="0" collapsed="false">
      <c r="A86" s="1" t="s">
        <v>111</v>
      </c>
    </row>
    <row r="87" customFormat="false" ht="17.15" hidden="false" customHeight="false" outlineLevel="0" collapsed="false">
      <c r="A87" s="1" t="s">
        <v>112</v>
      </c>
    </row>
    <row r="88" customFormat="false" ht="17.15" hidden="false" customHeight="false" outlineLevel="0" collapsed="false">
      <c r="A88" s="20" t="s">
        <v>113</v>
      </c>
    </row>
  </sheetData>
  <mergeCells count="6">
    <mergeCell ref="A1:F1"/>
    <mergeCell ref="A2:F2"/>
    <mergeCell ref="A4:F4"/>
    <mergeCell ref="A22:F22"/>
    <mergeCell ref="A35:F35"/>
    <mergeCell ref="A36:F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50"/>
    <col collapsed="false" customWidth="true" hidden="false" outlineLevel="0" max="3" min="2" style="1" width="22"/>
    <col collapsed="false" customWidth="true" hidden="false" outlineLevel="0" max="4" min="4" style="1" width="45"/>
    <col collapsed="false" customWidth="true" hidden="false" outlineLevel="0" max="5" min="5" style="1" width="30"/>
  </cols>
  <sheetData>
    <row r="1" customFormat="false" ht="20.25" hidden="false" customHeight="true" outlineLevel="0" collapsed="false">
      <c r="A1" s="119" t="s">
        <v>515</v>
      </c>
    </row>
    <row r="2" customFormat="false" ht="15" hidden="false" customHeight="true" outlineLevel="0" collapsed="false">
      <c r="A2" s="120" t="s">
        <v>516</v>
      </c>
    </row>
    <row r="4" customFormat="false" ht="17.25" hidden="false" customHeight="true" outlineLevel="0" collapsed="false">
      <c r="A4" s="121" t="s">
        <v>517</v>
      </c>
    </row>
    <row r="6" customFormat="false" ht="16.5" hidden="false" customHeight="true" outlineLevel="0" collapsed="false">
      <c r="A6" s="88" t="s">
        <v>3</v>
      </c>
      <c r="B6" s="88" t="s">
        <v>4</v>
      </c>
      <c r="C6" s="88" t="s">
        <v>518</v>
      </c>
      <c r="D6" s="88" t="s">
        <v>519</v>
      </c>
    </row>
    <row r="7" customFormat="false" ht="16.5" hidden="false" customHeight="true" outlineLevel="0" collapsed="false">
      <c r="A7" s="9" t="s">
        <v>520</v>
      </c>
      <c r="B7" s="122" t="n">
        <f aca="false">AVERAGE(Headcount!D4:D15)</f>
        <v>35000000</v>
      </c>
      <c r="C7" s="1" t="s">
        <v>147</v>
      </c>
      <c r="D7" s="1" t="s">
        <v>521</v>
      </c>
    </row>
    <row r="8" customFormat="false" ht="16.5" hidden="false" customHeight="true" outlineLevel="0" collapsed="false">
      <c r="A8" s="9" t="s">
        <v>522</v>
      </c>
      <c r="B8" s="122" t="n">
        <f aca="false">Assumptions!B23</f>
        <v>0</v>
      </c>
      <c r="C8" s="1" t="s">
        <v>147</v>
      </c>
      <c r="D8" s="75" t="s">
        <v>523</v>
      </c>
    </row>
    <row r="9" customFormat="false" ht="16.5" hidden="false" customHeight="true" outlineLevel="0" collapsed="false">
      <c r="A9" s="9" t="s">
        <v>524</v>
      </c>
      <c r="B9" s="123" t="n">
        <v>4500000</v>
      </c>
      <c r="C9" s="1" t="s">
        <v>147</v>
      </c>
      <c r="D9" s="1" t="s">
        <v>525</v>
      </c>
    </row>
    <row r="10" customFormat="false" ht="16.5" hidden="false" customHeight="true" outlineLevel="0" collapsed="false">
      <c r="A10" s="9" t="s">
        <v>526</v>
      </c>
      <c r="B10" s="124" t="n">
        <f aca="false">B7+B8+B9</f>
        <v>39500000</v>
      </c>
      <c r="C10" s="1" t="s">
        <v>147</v>
      </c>
      <c r="D10" s="1" t="n">
        <f aca="false">B7+B8+B9</f>
        <v>39500000</v>
      </c>
    </row>
    <row r="11" customFormat="false" ht="16.5" hidden="false" customHeight="true" outlineLevel="0" collapsed="false">
      <c r="A11" s="9" t="s">
        <v>527</v>
      </c>
      <c r="B11" s="125" t="n">
        <v>0.12</v>
      </c>
      <c r="C11" s="1" t="s">
        <v>126</v>
      </c>
      <c r="D11" s="1" t="s">
        <v>528</v>
      </c>
    </row>
    <row r="12" customFormat="false" ht="16.5" hidden="false" customHeight="true" outlineLevel="0" collapsed="false">
      <c r="A12" s="1" t="s">
        <v>529</v>
      </c>
      <c r="B12" s="126" t="n">
        <f aca="false">B10/B11</f>
        <v>329166666.666667</v>
      </c>
      <c r="C12" s="1" t="s">
        <v>147</v>
      </c>
      <c r="D12" s="1" t="s">
        <v>530</v>
      </c>
    </row>
    <row r="13" customFormat="false" ht="15" hidden="false" customHeight="true" outlineLevel="0" collapsed="false">
      <c r="A13" s="1" t="s">
        <v>531</v>
      </c>
      <c r="B13" s="122" t="n">
        <f aca="false">Assumptions!B8</f>
        <v>70000</v>
      </c>
      <c r="C13" s="1" t="s">
        <v>124</v>
      </c>
      <c r="D13" s="1" t="s">
        <v>532</v>
      </c>
    </row>
    <row r="14" customFormat="false" ht="16.5" hidden="false" customHeight="true" outlineLevel="0" collapsed="false">
      <c r="A14" s="1" t="s">
        <v>533</v>
      </c>
      <c r="B14" s="127" t="n">
        <f aca="false">B12/B13</f>
        <v>4702.38095238095</v>
      </c>
      <c r="C14" s="1" t="s">
        <v>534</v>
      </c>
      <c r="D14" s="1" t="s">
        <v>535</v>
      </c>
    </row>
    <row r="15" customFormat="false" ht="16.5" hidden="false" customHeight="true" outlineLevel="0" collapsed="false">
      <c r="A15" s="1" t="s">
        <v>536</v>
      </c>
      <c r="B15" s="121" t="n">
        <f aca="false">IFERROR(MATCH(TRUE(),Revenue!E4:E39&gt;=B12,0),"미달")</f>
        <v>24</v>
      </c>
      <c r="C15" s="1" t="s">
        <v>311</v>
      </c>
      <c r="D15" s="1" t="s">
        <v>537</v>
      </c>
    </row>
    <row r="17" customFormat="false" ht="17.25" hidden="false" customHeight="true" outlineLevel="0" collapsed="false">
      <c r="A17" s="121" t="s">
        <v>538</v>
      </c>
    </row>
    <row r="18" customFormat="false" ht="15" hidden="false" customHeight="true" outlineLevel="0" collapsed="false">
      <c r="A18" s="120" t="s">
        <v>539</v>
      </c>
      <c r="G18" s="123" t="n">
        <v>70000000</v>
      </c>
    </row>
    <row r="19" customFormat="false" ht="16.5" hidden="false" customHeight="true" outlineLevel="0" collapsed="false">
      <c r="A19" s="88" t="s">
        <v>60</v>
      </c>
      <c r="B19" s="56" t="s">
        <v>540</v>
      </c>
      <c r="C19" s="56" t="s">
        <v>541</v>
      </c>
      <c r="D19" s="56" t="s">
        <v>542</v>
      </c>
      <c r="E19" s="56" t="s">
        <v>543</v>
      </c>
      <c r="F19" s="56" t="s">
        <v>544</v>
      </c>
      <c r="G19" s="88" t="s">
        <v>472</v>
      </c>
    </row>
    <row r="20" customFormat="false" ht="16.5" hidden="false" customHeight="true" outlineLevel="0" collapsed="false">
      <c r="A20" s="128" t="s">
        <v>545</v>
      </c>
      <c r="B20" s="123" t="n">
        <v>750000000</v>
      </c>
      <c r="C20" s="122" t="n">
        <f aca="false">$C$24</f>
        <v>46741901.564964</v>
      </c>
      <c r="D20" s="129" t="n">
        <f aca="false">ROUND(B20/C20,1)</f>
        <v>16</v>
      </c>
      <c r="E20" s="122" t="n">
        <f aca="false">$G$18</f>
        <v>70000000</v>
      </c>
      <c r="F20" s="129" t="n">
        <f aca="false">ROUND(B20/E20,1)</f>
        <v>10.7</v>
      </c>
      <c r="G20" s="109" t="s">
        <v>546</v>
      </c>
    </row>
    <row r="21" customFormat="false" ht="16.5" hidden="false" customHeight="true" outlineLevel="0" collapsed="false">
      <c r="A21" s="130" t="s">
        <v>547</v>
      </c>
      <c r="B21" s="123" t="n">
        <v>1500000000</v>
      </c>
      <c r="C21" s="122" t="n">
        <f aca="false">$C$24</f>
        <v>46741901.564964</v>
      </c>
      <c r="D21" s="129" t="n">
        <f aca="false">ROUND(B21/C21,1)</f>
        <v>32.1</v>
      </c>
      <c r="E21" s="122" t="n">
        <f aca="false">$G$18</f>
        <v>70000000</v>
      </c>
      <c r="F21" s="129" t="n">
        <f aca="false">ROUND(B21/E21,1)</f>
        <v>21.4</v>
      </c>
      <c r="G21" s="109" t="s">
        <v>548</v>
      </c>
    </row>
    <row r="22" customFormat="false" ht="16.5" hidden="false" customHeight="true" outlineLevel="0" collapsed="false">
      <c r="A22" s="128" t="s">
        <v>549</v>
      </c>
      <c r="B22" s="123" t="n">
        <v>2500000000</v>
      </c>
      <c r="C22" s="122" t="n">
        <f aca="false">$C$24</f>
        <v>46741901.564964</v>
      </c>
      <c r="D22" s="129" t="n">
        <f aca="false">ROUND(B22/C22,1)</f>
        <v>53.5</v>
      </c>
      <c r="E22" s="122" t="n">
        <f aca="false">$G$18</f>
        <v>70000000</v>
      </c>
      <c r="F22" s="129" t="n">
        <f aca="false">ROUND(B22/E22,1)</f>
        <v>35.7</v>
      </c>
      <c r="G22" s="109" t="s">
        <v>550</v>
      </c>
    </row>
    <row r="23" customFormat="false" ht="16.5" hidden="false" customHeight="true" outlineLevel="0" collapsed="false">
      <c r="A23" s="55" t="s">
        <v>551</v>
      </c>
      <c r="B23" s="1" t="s">
        <v>552</v>
      </c>
    </row>
    <row r="24" customFormat="false" ht="16.5" hidden="false" customHeight="true" outlineLevel="0" collapsed="false">
      <c r="A24" s="131" t="s">
        <v>553</v>
      </c>
      <c r="B24" s="109" t="s">
        <v>554</v>
      </c>
      <c r="C24" s="122" t="n">
        <f aca="false">ABS(AVERAGE(CashFlow!F4:F39))</f>
        <v>46741901.564964</v>
      </c>
      <c r="D24" s="1" t="s">
        <v>555</v>
      </c>
    </row>
    <row r="25" customFormat="false" ht="15" hidden="false" customHeight="true" outlineLevel="0" collapsed="false">
      <c r="A25" s="131" t="s">
        <v>556</v>
      </c>
    </row>
    <row r="26" customFormat="false" ht="17.25" hidden="false" customHeight="true" outlineLevel="0" collapsed="false">
      <c r="A26" s="132" t="s">
        <v>557</v>
      </c>
    </row>
    <row r="28" customFormat="false" ht="15" hidden="false" customHeight="true" outlineLevel="0" collapsed="false">
      <c r="A28" s="56"/>
      <c r="B28" s="56"/>
      <c r="C28" s="56"/>
      <c r="D28" s="56"/>
    </row>
    <row r="29" customFormat="false" ht="15" hidden="false" customHeight="true" outlineLevel="0" collapsed="false">
      <c r="A29" s="121" t="s">
        <v>558</v>
      </c>
      <c r="B29" s="122" t="n">
        <f aca="false">Revenue!E9</f>
        <v>32043457.03125</v>
      </c>
      <c r="C29" s="133" t="n">
        <f aca="false">$B$12</f>
        <v>329166666.666667</v>
      </c>
      <c r="D29" s="134" t="str">
        <f aca="false">IF(B29&gt;=C29,"✅ BEP 도달","🟡 미달")</f>
        <v>🟡 미달</v>
      </c>
    </row>
    <row r="30" customFormat="false" ht="15" hidden="false" customHeight="true" outlineLevel="0" collapsed="false">
      <c r="A30" s="102"/>
      <c r="B30" s="122"/>
      <c r="C30" s="133"/>
      <c r="D30" s="134"/>
    </row>
    <row r="31" customFormat="false" ht="15" hidden="false" customHeight="true" outlineLevel="0" collapsed="false">
      <c r="A31" s="56" t="s">
        <v>559</v>
      </c>
      <c r="B31" s="135" t="s">
        <v>560</v>
      </c>
      <c r="C31" s="135" t="s">
        <v>561</v>
      </c>
      <c r="D31" s="56" t="s">
        <v>562</v>
      </c>
    </row>
    <row r="32" customFormat="false" ht="15" hidden="false" customHeight="true" outlineLevel="0" collapsed="false">
      <c r="A32" s="18" t="s">
        <v>244</v>
      </c>
      <c r="B32" s="122" t="n">
        <f aca="false">Revenue!E9</f>
        <v>32043457.03125</v>
      </c>
      <c r="C32" s="133" t="n">
        <f aca="false">$B$12</f>
        <v>329166666.666667</v>
      </c>
      <c r="D32" s="90" t="str">
        <f aca="false">IF(B32&gt;=C32,"✅ BEP 도달","🟡 미달")</f>
        <v>🟡 미달</v>
      </c>
    </row>
    <row r="33" customFormat="false" ht="16.5" hidden="false" customHeight="true" outlineLevel="0" collapsed="false">
      <c r="A33" s="18" t="s">
        <v>263</v>
      </c>
      <c r="B33" s="122" t="n">
        <f aca="false">Revenue!E15</f>
        <v>86503047.505957</v>
      </c>
      <c r="C33" s="133" t="n">
        <f aca="false">$B$12</f>
        <v>329166666.666667</v>
      </c>
      <c r="D33" s="90" t="str">
        <f aca="false">IF(B33&gt;=C33,"✅ BEP 도달","🟡 미달")</f>
        <v>🟡 미달</v>
      </c>
    </row>
    <row r="34" customFormat="false" ht="16.5" hidden="false" customHeight="true" outlineLevel="0" collapsed="false">
      <c r="A34" s="18" t="s">
        <v>267</v>
      </c>
      <c r="B34" s="122" t="n">
        <f aca="false">Revenue!E21</f>
        <v>170741677.504807</v>
      </c>
      <c r="C34" s="133" t="n">
        <f aca="false">$B$12</f>
        <v>329166666.666667</v>
      </c>
      <c r="D34" s="90" t="str">
        <f aca="false">IF(B34&gt;=C34,"✅ BEP 도달","🟡 미달")</f>
        <v>🟡 미달</v>
      </c>
    </row>
    <row r="35" customFormat="false" ht="15" hidden="false" customHeight="true" outlineLevel="0" collapsed="false">
      <c r="A35" s="18" t="s">
        <v>563</v>
      </c>
      <c r="B35" s="122" t="n">
        <f aca="false">Revenue!E27</f>
        <v>337013796.36536</v>
      </c>
      <c r="C35" s="133" t="n">
        <f aca="false">$B$12</f>
        <v>329166666.666667</v>
      </c>
      <c r="D35" s="134" t="str">
        <f aca="false">IF(B35&gt;=C35,"✅ BEP 도달","🟡 미달")</f>
        <v>✅ BEP 도달</v>
      </c>
    </row>
    <row r="36" customFormat="false" ht="16.5" hidden="false" customHeight="true" outlineLevel="0" collapsed="false">
      <c r="A36" s="18" t="s">
        <v>272</v>
      </c>
      <c r="B36" s="122" t="n">
        <f aca="false">Revenue!E33</f>
        <v>478060511.238214</v>
      </c>
      <c r="C36" s="133" t="n">
        <f aca="false">$B$12</f>
        <v>329166666.666667</v>
      </c>
      <c r="D36" s="134" t="str">
        <f aca="false">IF(B36&gt;=C36,"✅ BEP 도달","🟡 미달")</f>
        <v>✅ BEP 도달</v>
      </c>
    </row>
    <row r="37" customFormat="false" ht="17.25" hidden="false" customHeight="true" outlineLevel="0" collapsed="false">
      <c r="A37" s="130"/>
      <c r="B37" s="122" t="n">
        <f aca="false">Revenue!E39</f>
        <v>678137972.006281</v>
      </c>
      <c r="C37" s="133" t="n">
        <f aca="false">$B$12</f>
        <v>329166666.666667</v>
      </c>
      <c r="D37" s="134" t="str">
        <f aca="false">IF(B37&gt;=C37,"✅ BEP 도달","🟡 미달")</f>
        <v>✅ BEP 도달</v>
      </c>
    </row>
    <row r="39" customFormat="false" ht="16.5" hidden="false" customHeight="true" outlineLevel="0" collapsed="false">
      <c r="A39" s="88"/>
      <c r="B39" s="56"/>
      <c r="C39" s="56"/>
      <c r="D39" s="88"/>
      <c r="E39" s="56"/>
    </row>
    <row r="40" customFormat="false" ht="16.5" hidden="false" customHeight="true" outlineLevel="0" collapsed="false">
      <c r="A40" s="121" t="s">
        <v>564</v>
      </c>
      <c r="B40" s="123"/>
      <c r="C40" s="133"/>
      <c r="D40" s="133"/>
      <c r="E40" s="134"/>
    </row>
    <row r="41" customFormat="false" ht="15" hidden="false" customHeight="true" outlineLevel="0" collapsed="false">
      <c r="A41" s="130"/>
      <c r="B41" s="123"/>
      <c r="C41" s="133"/>
      <c r="D41" s="133"/>
      <c r="E41" s="134"/>
    </row>
    <row r="42" customFormat="false" ht="15" hidden="false" customHeight="true" outlineLevel="0" collapsed="false">
      <c r="A42" s="88" t="s">
        <v>60</v>
      </c>
      <c r="B42" s="135" t="s">
        <v>565</v>
      </c>
      <c r="C42" s="135" t="s">
        <v>566</v>
      </c>
      <c r="D42" s="136" t="s">
        <v>567</v>
      </c>
      <c r="E42" s="56" t="s">
        <v>568</v>
      </c>
    </row>
    <row r="43" customFormat="false" ht="15" hidden="false" customHeight="true" outlineLevel="0" collapsed="false">
      <c r="A43" s="137" t="s">
        <v>569</v>
      </c>
      <c r="B43" s="123" t="n">
        <v>200000000</v>
      </c>
      <c r="C43" s="133" t="n">
        <f aca="false">B43*Assumptions!$B$9</f>
        <v>60000000</v>
      </c>
      <c r="D43" s="133" t="n">
        <f aca="false">B43*$B$11</f>
        <v>24000000</v>
      </c>
      <c r="E43" s="90" t="str">
        <f aca="false">IF(B43&gt;=$B$12,"✅ 도달","🟡 "&amp;TEXT(($B$12-B43)/$B$12,"0.0%")&amp;" 미달")</f>
        <v>🟡 39.2% 미달</v>
      </c>
    </row>
    <row r="44" customFormat="false" ht="15" hidden="false" customHeight="true" outlineLevel="0" collapsed="false">
      <c r="A44" s="18" t="s">
        <v>570</v>
      </c>
      <c r="B44" s="123" t="n">
        <v>400000000</v>
      </c>
      <c r="C44" s="133" t="n">
        <f aca="false">B44*Assumptions!$B$9</f>
        <v>120000000</v>
      </c>
      <c r="D44" s="133" t="n">
        <f aca="false">B44*$B$11</f>
        <v>48000000</v>
      </c>
      <c r="E44" s="134" t="str">
        <f aca="false">IF(B44&gt;=$B$12,"✅ 도달","🟡 "&amp;TEXT(($B$12-B44)/$B$12,"0.0%")&amp;" 미달")</f>
        <v>✅ 도달</v>
      </c>
    </row>
    <row r="45" customFormat="false" ht="15" hidden="false" customHeight="true" outlineLevel="0" collapsed="false">
      <c r="A45" s="128"/>
      <c r="B45" s="123" t="n">
        <v>800000000</v>
      </c>
      <c r="C45" s="133" t="n">
        <f aca="false">B45*Assumptions!$B$9</f>
        <v>240000000</v>
      </c>
      <c r="D45" s="133" t="n">
        <f aca="false">B45*$B$11</f>
        <v>96000000</v>
      </c>
      <c r="E45" s="134" t="str">
        <f aca="false">IF(B45&gt;=$B$12,"✅ 도달","🟡 "&amp;TEXT(($B$12-B45)/$B$12,"0.0%")&amp;" 미달")</f>
        <v>✅ 도달</v>
      </c>
    </row>
    <row r="46" customFormat="false" ht="15" hidden="false" customHeight="true" outlineLevel="0" collapsed="false">
      <c r="A46" s="128"/>
      <c r="B46" s="123" t="n">
        <v>1200000000</v>
      </c>
      <c r="C46" s="133" t="n">
        <f aca="false">B46*Assumptions!$B$9</f>
        <v>360000000</v>
      </c>
      <c r="D46" s="133" t="n">
        <f aca="false">B46*$B$11</f>
        <v>144000000</v>
      </c>
      <c r="E46" s="134" t="str">
        <f aca="false">IF(B46&gt;=$B$12,"✅ 도달","🟡 "&amp;TEXT(($B$12-B46)/$B$12,"0.0%")&amp;" 미달")</f>
        <v>✅ 도달</v>
      </c>
    </row>
    <row r="48" customFormat="false" ht="15" hidden="false" customHeight="true" outlineLevel="0" collapsed="false">
      <c r="A48" s="121" t="s">
        <v>571</v>
      </c>
    </row>
    <row r="49" customFormat="false" ht="15" hidden="false" customHeight="true" outlineLevel="0" collapsed="false">
      <c r="A49" s="138"/>
    </row>
    <row r="50" customFormat="false" ht="15" hidden="false" customHeight="true" outlineLevel="0" collapsed="false">
      <c r="A50" s="105" t="s">
        <v>572</v>
      </c>
      <c r="B50" s="6" t="s">
        <v>573</v>
      </c>
      <c r="E50" s="132" t="s">
        <v>574</v>
      </c>
    </row>
    <row r="51" customFormat="false" ht="15" hidden="false" customHeight="true" outlineLevel="0" collapsed="false">
      <c r="A51" s="58" t="s">
        <v>575</v>
      </c>
      <c r="B51" s="6" t="s">
        <v>576</v>
      </c>
      <c r="E51" s="98" t="s">
        <v>577</v>
      </c>
    </row>
    <row r="52" customFormat="false" ht="15" hidden="false" customHeight="true" outlineLevel="0" collapsed="false">
      <c r="A52" s="105" t="s">
        <v>578</v>
      </c>
      <c r="B52" s="7" t="s">
        <v>579</v>
      </c>
      <c r="E52" s="98" t="s">
        <v>580</v>
      </c>
    </row>
    <row r="53" customFormat="false" ht="15" hidden="false" customHeight="true" outlineLevel="0" collapsed="false">
      <c r="A53" s="105" t="s">
        <v>581</v>
      </c>
      <c r="B53" s="6" t="s">
        <v>582</v>
      </c>
      <c r="E53" s="132" t="s">
        <v>583</v>
      </c>
    </row>
    <row r="55" customFormat="false" ht="15" hidden="false" customHeight="true" outlineLevel="0" collapsed="false">
      <c r="A55" s="139" t="s">
        <v>584</v>
      </c>
    </row>
    <row r="57" customFormat="false" ht="15" hidden="false" customHeight="true" outlineLevel="0" collapsed="false">
      <c r="A57" s="1" t="s">
        <v>585</v>
      </c>
    </row>
    <row r="58" customFormat="false" ht="15" hidden="false" customHeight="true" outlineLevel="0" collapsed="false">
      <c r="A58" s="138" t="s">
        <v>586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6796875" defaultRowHeight="15" customHeight="false" zeroHeight="false" outlineLevelRow="0" outlineLevelCol="0"/>
  <cols>
    <col collapsed="false" customWidth="true" hidden="false" outlineLevel="0" max="1" min="1" style="1" width="28"/>
    <col collapsed="false" customWidth="true" hidden="false" outlineLevel="0" max="7" min="2" style="1" width="18"/>
  </cols>
  <sheetData>
    <row r="1" customFormat="false" ht="109.5" hidden="false" customHeight="true" outlineLevel="0" collapsed="false">
      <c r="A1" s="21" t="s">
        <v>587</v>
      </c>
      <c r="B1" s="21"/>
      <c r="C1" s="21"/>
      <c r="D1" s="21"/>
      <c r="E1" s="21"/>
      <c r="F1" s="21"/>
      <c r="G1" s="21"/>
      <c r="H1" s="21"/>
    </row>
    <row r="2" customFormat="false" ht="16.5" hidden="false" customHeight="true" outlineLevel="0" collapsed="false">
      <c r="A2" s="1" t="s">
        <v>588</v>
      </c>
    </row>
    <row r="3" customFormat="false" ht="16.5" hidden="false" customHeight="true" outlineLevel="0" collapsed="false">
      <c r="A3" s="76" t="s">
        <v>589</v>
      </c>
    </row>
    <row r="5" customFormat="false" ht="15" hidden="false" customHeight="true" outlineLevel="0" collapsed="false">
      <c r="A5" s="56" t="s">
        <v>590</v>
      </c>
      <c r="B5" s="140" t="n">
        <v>0.5</v>
      </c>
      <c r="C5" s="140" t="n">
        <v>0.75</v>
      </c>
      <c r="D5" s="140" t="n">
        <v>1</v>
      </c>
      <c r="E5" s="140" t="n">
        <v>1.25</v>
      </c>
      <c r="F5" s="140" t="n">
        <v>1.5</v>
      </c>
      <c r="G5" s="140" t="n">
        <v>2</v>
      </c>
    </row>
    <row r="6" customFormat="false" ht="15" hidden="false" customHeight="true" outlineLevel="0" collapsed="false">
      <c r="A6" s="141" t="n">
        <v>30</v>
      </c>
      <c r="B6" s="66" t="n">
        <f aca="false">Revenue!H39*(30/Assumptions!$B$7)*0.5</f>
        <v>2651957274.51701</v>
      </c>
      <c r="C6" s="66" t="n">
        <f aca="false">Revenue!H39*(30/Assumptions!$B$7)*0.75</f>
        <v>3977935911.77551</v>
      </c>
      <c r="D6" s="66" t="n">
        <f aca="false">Revenue!H39*(30/Assumptions!$B$7)*1</f>
        <v>5303914549.03402</v>
      </c>
      <c r="E6" s="66" t="n">
        <f aca="false">Revenue!H39*(30/Assumptions!$B$7)*1.25</f>
        <v>6629893186.29252</v>
      </c>
      <c r="F6" s="66" t="n">
        <f aca="false">Revenue!H39*(30/Assumptions!$B$7)*1.5</f>
        <v>7955871823.55103</v>
      </c>
      <c r="G6" s="66" t="n">
        <f aca="false">Revenue!H39*(30/Assumptions!$B$7)*2</f>
        <v>10607829098.068</v>
      </c>
    </row>
    <row r="7" customFormat="false" ht="15" hidden="false" customHeight="true" outlineLevel="0" collapsed="false">
      <c r="A7" s="141" t="n">
        <v>40</v>
      </c>
      <c r="B7" s="66" t="n">
        <f aca="false">Revenue!H39*(40/Assumptions!$B$7)*0.5</f>
        <v>3535943032.68935</v>
      </c>
      <c r="C7" s="66" t="n">
        <f aca="false">Revenue!H39*(40/Assumptions!$B$7)*0.75</f>
        <v>5303914549.03402</v>
      </c>
      <c r="D7" s="66" t="n">
        <f aca="false">Revenue!H39*(40/Assumptions!$B$7)*1</f>
        <v>7071886065.37869</v>
      </c>
      <c r="E7" s="66" t="n">
        <f aca="false">Revenue!H39*(40/Assumptions!$B$7)*1.25</f>
        <v>8839857581.72337</v>
      </c>
      <c r="F7" s="66" t="n">
        <f aca="false">Revenue!H39*(40/Assumptions!$B$7)*1.5</f>
        <v>10607829098.068</v>
      </c>
      <c r="G7" s="66" t="n">
        <f aca="false">Revenue!H39*(40/Assumptions!$B$7)*2</f>
        <v>14143772130.7574</v>
      </c>
    </row>
    <row r="8" customFormat="false" ht="15" hidden="false" customHeight="true" outlineLevel="0" collapsed="false">
      <c r="A8" s="141" t="n">
        <v>50</v>
      </c>
      <c r="B8" s="66" t="n">
        <f aca="false">Revenue!H39*(50/Assumptions!$B$7)*0.5</f>
        <v>4419928790.86168</v>
      </c>
      <c r="C8" s="66" t="n">
        <f aca="false">Revenue!H39*(50/Assumptions!$B$7)*0.75</f>
        <v>6629893186.29252</v>
      </c>
      <c r="D8" s="68" t="n">
        <f aca="false">Revenue!H39*(50/Assumptions!$B$7)*1</f>
        <v>8839857581.72337</v>
      </c>
      <c r="E8" s="66" t="n">
        <f aca="false">Revenue!H39*(50/Assumptions!$B$7)*1.25</f>
        <v>11049821977.1542</v>
      </c>
      <c r="F8" s="66" t="n">
        <f aca="false">Revenue!H39*(50/Assumptions!$B$7)*1.5</f>
        <v>13259786372.585</v>
      </c>
      <c r="G8" s="66" t="n">
        <f aca="false">Revenue!H39*(50/Assumptions!$B$7)*2</f>
        <v>17679715163.4467</v>
      </c>
    </row>
    <row r="9" customFormat="false" ht="15" hidden="false" customHeight="true" outlineLevel="0" collapsed="false">
      <c r="A9" s="141" t="n">
        <v>60</v>
      </c>
      <c r="B9" s="66" t="n">
        <f aca="false">Revenue!H39*(60/Assumptions!$B$7)*0.5</f>
        <v>5303914549.03402</v>
      </c>
      <c r="C9" s="66" t="n">
        <f aca="false">Revenue!H39*(60/Assumptions!$B$7)*0.75</f>
        <v>7955871823.55103</v>
      </c>
      <c r="D9" s="66" t="n">
        <f aca="false">Revenue!H39*(60/Assumptions!$B$7)*1</f>
        <v>10607829098.068</v>
      </c>
      <c r="E9" s="66" t="n">
        <f aca="false">Revenue!H39*(60/Assumptions!$B$7)*1.25</f>
        <v>13259786372.585</v>
      </c>
      <c r="F9" s="66" t="n">
        <f aca="false">Revenue!H39*(60/Assumptions!$B$7)*1.5</f>
        <v>15911743647.1021</v>
      </c>
      <c r="G9" s="66" t="n">
        <f aca="false">Revenue!H39*(60/Assumptions!$B$7)*2</f>
        <v>21215658196.1361</v>
      </c>
    </row>
    <row r="10" customFormat="false" ht="15" hidden="false" customHeight="true" outlineLevel="0" collapsed="false">
      <c r="A10" s="141" t="n">
        <v>80</v>
      </c>
      <c r="B10" s="66" t="n">
        <f aca="false">Revenue!H39*(80/Assumptions!$B$7)*0.5</f>
        <v>7071886065.37869</v>
      </c>
      <c r="C10" s="66" t="n">
        <f aca="false">Revenue!H39*(80/Assumptions!$B$7)*0.75</f>
        <v>10607829098.068</v>
      </c>
      <c r="D10" s="66" t="n">
        <f aca="false">Revenue!H39*(80/Assumptions!$B$7)*1</f>
        <v>14143772130.7574</v>
      </c>
      <c r="E10" s="66" t="n">
        <f aca="false">Revenue!H39*(80/Assumptions!$B$7)*1.25</f>
        <v>17679715163.4467</v>
      </c>
      <c r="F10" s="66" t="n">
        <f aca="false">Revenue!H39*(80/Assumptions!$B$7)*1.5</f>
        <v>21215658196.1361</v>
      </c>
      <c r="G10" s="66" t="n">
        <f aca="false">Revenue!H39*(80/Assumptions!$B$7)*2</f>
        <v>28287544261.5148</v>
      </c>
    </row>
    <row r="11" customFormat="false" ht="15" hidden="false" customHeight="true" outlineLevel="0" collapsed="false">
      <c r="A11" s="141" t="n">
        <v>100</v>
      </c>
      <c r="B11" s="66" t="n">
        <f aca="false">Revenue!H39*(100/Assumptions!$B$7)*0.5</f>
        <v>8839857581.72337</v>
      </c>
      <c r="C11" s="66" t="n">
        <f aca="false">Revenue!H39*(100/Assumptions!$B$7)*0.75</f>
        <v>13259786372.585</v>
      </c>
      <c r="D11" s="66" t="n">
        <f aca="false">Revenue!H39*(100/Assumptions!$B$7)*1</f>
        <v>17679715163.4467</v>
      </c>
      <c r="E11" s="66" t="n">
        <f aca="false">Revenue!H39*(100/Assumptions!$B$7)*1.25</f>
        <v>22099643954.3084</v>
      </c>
      <c r="F11" s="66" t="n">
        <f aca="false">Revenue!H39*(100/Assumptions!$B$7)*1.5</f>
        <v>26519572745.1701</v>
      </c>
      <c r="G11" s="66" t="n">
        <f aca="false">Revenue!H39*(100/Assumptions!$B$7)*2</f>
        <v>35359430326.8935</v>
      </c>
    </row>
    <row r="14" customFormat="false" ht="14.25" hidden="false" customHeight="true" outlineLevel="0" collapsed="false">
      <c r="A14" s="142" t="s">
        <v>591</v>
      </c>
    </row>
    <row r="16" customFormat="false" ht="15" hidden="false" customHeight="true" outlineLevel="0" collapsed="false">
      <c r="A16" s="55" t="s">
        <v>592</v>
      </c>
    </row>
    <row r="17" customFormat="false" ht="15" hidden="false" customHeight="true" outlineLevel="0" collapsed="false">
      <c r="A17" s="58" t="s">
        <v>593</v>
      </c>
      <c r="B17" s="23" t="s">
        <v>594</v>
      </c>
      <c r="C17" s="142" t="s">
        <v>595</v>
      </c>
    </row>
    <row r="18" customFormat="false" ht="15" hidden="false" customHeight="true" outlineLevel="0" collapsed="false">
      <c r="A18" s="58" t="s">
        <v>596</v>
      </c>
      <c r="B18" s="23" t="s">
        <v>597</v>
      </c>
      <c r="C18" s="142" t="s">
        <v>598</v>
      </c>
    </row>
    <row r="19" customFormat="false" ht="15" hidden="false" customHeight="true" outlineLevel="0" collapsed="false">
      <c r="A19" s="58" t="s">
        <v>599</v>
      </c>
      <c r="B19" s="23" t="s">
        <v>600</v>
      </c>
      <c r="C19" s="73" t="s">
        <v>601</v>
      </c>
    </row>
    <row r="20" customFormat="false" ht="15" hidden="false" customHeight="true" outlineLevel="0" collapsed="false">
      <c r="A20" s="58" t="s">
        <v>602</v>
      </c>
      <c r="B20" s="23" t="s">
        <v>603</v>
      </c>
      <c r="C20" s="73" t="s">
        <v>604</v>
      </c>
    </row>
  </sheetData>
  <mergeCells count="1">
    <mergeCell ref="A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89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D31" activeCellId="0" sqref="D31"/>
    </sheetView>
  </sheetViews>
  <sheetFormatPr defaultColWidth="8.66796875" defaultRowHeight="15" customHeight="false" zeroHeight="false" outlineLevelRow="0" outlineLevelCol="0"/>
  <cols>
    <col collapsed="false" customWidth="true" hidden="false" outlineLevel="0" max="1" min="1" style="1" width="42"/>
    <col collapsed="false" customWidth="true" hidden="false" outlineLevel="0" max="2" min="2" style="1" width="18"/>
    <col collapsed="false" customWidth="true" hidden="false" outlineLevel="0" max="3" min="3" style="1" width="10"/>
    <col collapsed="false" customWidth="true" hidden="false" outlineLevel="0" max="4" min="4" style="1" width="50"/>
    <col collapsed="false" customWidth="true" hidden="false" outlineLevel="0" max="5" min="5" style="0" width="12"/>
  </cols>
  <sheetData>
    <row r="1" customFormat="false" ht="109.5" hidden="false" customHeight="true" outlineLevel="0" collapsed="false">
      <c r="A1" s="21" t="s">
        <v>114</v>
      </c>
      <c r="B1" s="21"/>
      <c r="C1" s="21"/>
      <c r="D1" s="21"/>
    </row>
    <row r="3" customFormat="false" ht="16.5" hidden="false" customHeight="true" outlineLevel="0" collapsed="false">
      <c r="A3" s="22" t="s">
        <v>115</v>
      </c>
      <c r="B3" s="22"/>
      <c r="C3" s="22"/>
      <c r="D3" s="22"/>
    </row>
    <row r="4" customFormat="false" ht="15" hidden="false" customHeight="true" outlineLevel="0" collapsed="false">
      <c r="A4" s="23" t="s">
        <v>116</v>
      </c>
      <c r="B4" s="24" t="n">
        <v>1400</v>
      </c>
      <c r="C4" s="25" t="s">
        <v>117</v>
      </c>
      <c r="D4" s="25" t="s">
        <v>118</v>
      </c>
    </row>
    <row r="6" customFormat="false" ht="15" hidden="false" customHeight="true" outlineLevel="0" collapsed="false">
      <c r="A6" s="22" t="s">
        <v>119</v>
      </c>
      <c r="B6" s="22"/>
      <c r="C6" s="22"/>
      <c r="D6" s="22"/>
    </row>
    <row r="7" customFormat="false" ht="15" hidden="false" customHeight="true" outlineLevel="0" collapsed="false">
      <c r="A7" s="23" t="s">
        <v>120</v>
      </c>
      <c r="B7" s="26" t="n">
        <v>50</v>
      </c>
      <c r="C7" s="25" t="s">
        <v>121</v>
      </c>
      <c r="D7" s="25" t="s">
        <v>122</v>
      </c>
    </row>
    <row r="8" customFormat="false" ht="15" hidden="false" customHeight="true" outlineLevel="0" collapsed="false">
      <c r="A8" s="23" t="s">
        <v>123</v>
      </c>
      <c r="B8" s="27" t="n">
        <f aca="false">B7*B4</f>
        <v>70000</v>
      </c>
      <c r="C8" s="25" t="s">
        <v>124</v>
      </c>
    </row>
    <row r="9" customFormat="false" ht="15" hidden="false" customHeight="true" outlineLevel="0" collapsed="false">
      <c r="A9" s="23" t="s">
        <v>125</v>
      </c>
      <c r="B9" s="28" t="n">
        <v>0.3</v>
      </c>
      <c r="C9" s="25" t="s">
        <v>126</v>
      </c>
      <c r="D9" s="25" t="s">
        <v>127</v>
      </c>
    </row>
    <row r="10" customFormat="false" ht="15" hidden="false" customHeight="true" outlineLevel="0" collapsed="false">
      <c r="A10" s="23" t="s">
        <v>128</v>
      </c>
      <c r="B10" s="29" t="n">
        <f aca="false">1-B9</f>
        <v>0.7</v>
      </c>
      <c r="C10" s="25" t="s">
        <v>126</v>
      </c>
    </row>
    <row r="11" customFormat="false" ht="15" hidden="false" customHeight="true" outlineLevel="0" collapsed="false">
      <c r="A11" s="23" t="s">
        <v>129</v>
      </c>
      <c r="B11" s="28" t="n">
        <v>0.04</v>
      </c>
      <c r="C11" s="25" t="s">
        <v>126</v>
      </c>
      <c r="D11" s="25" t="s">
        <v>130</v>
      </c>
    </row>
    <row r="12" customFormat="false" ht="15" hidden="false" customHeight="true" outlineLevel="0" collapsed="false">
      <c r="A12" s="23" t="s">
        <v>131</v>
      </c>
      <c r="B12" s="24" t="n">
        <v>12000</v>
      </c>
      <c r="C12" s="25" t="s">
        <v>124</v>
      </c>
      <c r="D12" s="25" t="s">
        <v>132</v>
      </c>
    </row>
    <row r="14" customFormat="false" ht="16.5" hidden="false" customHeight="true" outlineLevel="0" collapsed="false">
      <c r="A14" s="30" t="s">
        <v>133</v>
      </c>
    </row>
    <row r="15" customFormat="false" ht="15" hidden="false" customHeight="true" outlineLevel="0" collapsed="false">
      <c r="A15" s="23" t="s">
        <v>134</v>
      </c>
      <c r="B15" s="24" t="n">
        <v>150</v>
      </c>
      <c r="C15" s="25" t="s">
        <v>135</v>
      </c>
      <c r="D15" s="25" t="s">
        <v>136</v>
      </c>
    </row>
    <row r="16" customFormat="false" ht="15" hidden="false" customHeight="true" outlineLevel="0" collapsed="false">
      <c r="A16" s="23" t="s">
        <v>137</v>
      </c>
      <c r="B16" s="28" t="n">
        <v>0.25</v>
      </c>
      <c r="C16" s="25" t="s">
        <v>126</v>
      </c>
      <c r="D16" s="25" t="s">
        <v>138</v>
      </c>
    </row>
    <row r="17" customFormat="false" ht="15" hidden="false" customHeight="true" outlineLevel="0" collapsed="false">
      <c r="A17" s="23" t="s">
        <v>139</v>
      </c>
      <c r="B17" s="28" t="n">
        <v>0.18</v>
      </c>
      <c r="C17" s="25" t="s">
        <v>126</v>
      </c>
      <c r="D17" s="25" t="s">
        <v>140</v>
      </c>
    </row>
    <row r="18" customFormat="false" ht="15" hidden="false" customHeight="true" outlineLevel="0" collapsed="false">
      <c r="A18" s="23" t="s">
        <v>141</v>
      </c>
      <c r="B18" s="28" t="n">
        <v>0.12</v>
      </c>
      <c r="C18" s="25" t="s">
        <v>126</v>
      </c>
      <c r="D18" s="25" t="s">
        <v>142</v>
      </c>
    </row>
    <row r="19" customFormat="false" ht="15" hidden="false" customHeight="true" outlineLevel="0" collapsed="false">
      <c r="A19" s="23" t="s">
        <v>143</v>
      </c>
      <c r="B19" s="28" t="n">
        <v>0.06</v>
      </c>
      <c r="C19" s="25" t="s">
        <v>126</v>
      </c>
      <c r="D19" s="25" t="s">
        <v>144</v>
      </c>
    </row>
    <row r="21" customFormat="false" ht="15" hidden="false" customHeight="true" outlineLevel="0" collapsed="false">
      <c r="A21" s="22" t="s">
        <v>145</v>
      </c>
      <c r="B21" s="22"/>
      <c r="C21" s="22"/>
      <c r="D21" s="22"/>
    </row>
    <row r="22" customFormat="false" ht="15" hidden="false" customHeight="true" outlineLevel="0" collapsed="false">
      <c r="A22" s="23" t="s">
        <v>146</v>
      </c>
      <c r="B22" s="24" t="n">
        <v>5000000</v>
      </c>
      <c r="C22" s="25" t="s">
        <v>147</v>
      </c>
      <c r="D22" s="25" t="s">
        <v>148</v>
      </c>
    </row>
    <row r="23" customFormat="false" ht="15" hidden="false" customHeight="true" outlineLevel="0" collapsed="false">
      <c r="A23" s="23" t="s">
        <v>149</v>
      </c>
      <c r="B23" s="24" t="n">
        <v>0</v>
      </c>
      <c r="C23" s="25" t="s">
        <v>147</v>
      </c>
      <c r="D23" s="25" t="s">
        <v>150</v>
      </c>
    </row>
    <row r="24" customFormat="false" ht="15" hidden="false" customHeight="true" outlineLevel="0" collapsed="false">
      <c r="A24" s="23" t="s">
        <v>151</v>
      </c>
      <c r="B24" s="28" t="n">
        <v>0.12</v>
      </c>
      <c r="C24" s="25" t="s">
        <v>126</v>
      </c>
      <c r="D24" s="25" t="s">
        <v>152</v>
      </c>
    </row>
    <row r="25" customFormat="false" ht="15" hidden="false" customHeight="true" outlineLevel="0" collapsed="false">
      <c r="A25" s="23" t="s">
        <v>153</v>
      </c>
      <c r="B25" s="28" t="n">
        <v>0.08</v>
      </c>
      <c r="C25" s="25" t="s">
        <v>126</v>
      </c>
      <c r="D25" s="25" t="s">
        <v>154</v>
      </c>
    </row>
    <row r="26" customFormat="false" ht="15" hidden="false" customHeight="true" outlineLevel="0" collapsed="false">
      <c r="A26" s="23" t="s">
        <v>155</v>
      </c>
      <c r="B26" s="28" t="n">
        <v>0.06</v>
      </c>
      <c r="C26" s="25" t="s">
        <v>126</v>
      </c>
      <c r="D26" s="25" t="s">
        <v>156</v>
      </c>
    </row>
    <row r="28" customFormat="false" ht="15" hidden="false" customHeight="true" outlineLevel="0" collapsed="false">
      <c r="A28" s="22" t="s">
        <v>157</v>
      </c>
      <c r="B28" s="22"/>
      <c r="C28" s="22"/>
      <c r="D28" s="22"/>
    </row>
    <row r="29" customFormat="false" ht="15" hidden="false" customHeight="true" outlineLevel="0" collapsed="false">
      <c r="A29" s="23" t="s">
        <v>158</v>
      </c>
      <c r="B29" s="24" t="n">
        <v>6</v>
      </c>
      <c r="C29" s="25" t="s">
        <v>159</v>
      </c>
      <c r="D29" s="25" t="s">
        <v>160</v>
      </c>
    </row>
    <row r="30" customFormat="false" ht="15" hidden="false" customHeight="true" outlineLevel="0" collapsed="false">
      <c r="A30" s="23" t="s">
        <v>161</v>
      </c>
      <c r="B30" s="24" t="n">
        <v>8</v>
      </c>
      <c r="C30" s="25" t="s">
        <v>159</v>
      </c>
      <c r="D30" s="31" t="s">
        <v>162</v>
      </c>
    </row>
    <row r="31" customFormat="false" ht="15" hidden="false" customHeight="true" outlineLevel="0" collapsed="false">
      <c r="A31" s="23" t="s">
        <v>163</v>
      </c>
      <c r="B31" s="24" t="n">
        <v>10</v>
      </c>
      <c r="C31" s="25" t="s">
        <v>159</v>
      </c>
      <c r="D31" s="31" t="s">
        <v>164</v>
      </c>
    </row>
    <row r="32" customFormat="false" ht="15" hidden="false" customHeight="true" outlineLevel="0" collapsed="false">
      <c r="A32" s="23" t="s">
        <v>165</v>
      </c>
      <c r="B32" s="24" t="n">
        <v>14</v>
      </c>
      <c r="C32" s="25" t="s">
        <v>159</v>
      </c>
      <c r="D32" s="25" t="s">
        <v>166</v>
      </c>
    </row>
    <row r="34" customFormat="false" ht="15" hidden="false" customHeight="true" outlineLevel="0" collapsed="false">
      <c r="A34" s="22" t="s">
        <v>167</v>
      </c>
      <c r="B34" s="22"/>
      <c r="C34" s="22"/>
      <c r="D34" s="22"/>
    </row>
    <row r="35" customFormat="false" ht="15" hidden="false" customHeight="true" outlineLevel="0" collapsed="false">
      <c r="A35" s="32" t="s">
        <v>168</v>
      </c>
      <c r="B35" s="24" t="n">
        <v>100000000</v>
      </c>
      <c r="C35" s="25" t="s">
        <v>124</v>
      </c>
      <c r="D35" s="25" t="s">
        <v>169</v>
      </c>
    </row>
    <row r="36" customFormat="false" ht="15" hidden="false" customHeight="true" outlineLevel="0" collapsed="false">
      <c r="A36" s="23" t="s">
        <v>170</v>
      </c>
      <c r="B36" s="24" t="n">
        <v>1500000000</v>
      </c>
      <c r="C36" s="25" t="s">
        <v>124</v>
      </c>
      <c r="D36" s="25" t="s">
        <v>171</v>
      </c>
    </row>
    <row r="37" customFormat="false" ht="15" hidden="false" customHeight="true" outlineLevel="0" collapsed="false">
      <c r="A37" s="23" t="s">
        <v>172</v>
      </c>
      <c r="B37" s="24" t="n">
        <v>3</v>
      </c>
      <c r="C37" s="25" t="s">
        <v>173</v>
      </c>
      <c r="D37" s="25" t="s">
        <v>174</v>
      </c>
    </row>
    <row r="39" customFormat="false" ht="15" hidden="false" customHeight="true" outlineLevel="0" collapsed="false">
      <c r="A39" s="22" t="s">
        <v>175</v>
      </c>
      <c r="B39" s="22"/>
      <c r="C39" s="22"/>
      <c r="D39" s="22"/>
    </row>
    <row r="40" customFormat="false" ht="15" hidden="false" customHeight="true" outlineLevel="0" collapsed="false">
      <c r="A40" s="23" t="s">
        <v>176</v>
      </c>
      <c r="B40" s="24" t="n">
        <v>30000000</v>
      </c>
      <c r="C40" s="25" t="s">
        <v>124</v>
      </c>
      <c r="D40" s="25" t="s">
        <v>177</v>
      </c>
    </row>
    <row r="41" customFormat="false" ht="15" hidden="false" customHeight="true" outlineLevel="0" collapsed="false">
      <c r="A41" s="32" t="s">
        <v>178</v>
      </c>
      <c r="B41" s="24" t="n">
        <v>7200000</v>
      </c>
      <c r="C41" s="25" t="s">
        <v>179</v>
      </c>
      <c r="D41" s="25" t="s">
        <v>180</v>
      </c>
    </row>
    <row r="42" customFormat="false" ht="15" hidden="false" customHeight="true" outlineLevel="0" collapsed="false">
      <c r="A42" s="23" t="s">
        <v>181</v>
      </c>
      <c r="B42" s="24" t="n">
        <v>30000000</v>
      </c>
      <c r="C42" s="25" t="s">
        <v>124</v>
      </c>
      <c r="D42" s="25" t="s">
        <v>182</v>
      </c>
    </row>
    <row r="43" customFormat="false" ht="15" hidden="false" customHeight="true" outlineLevel="0" collapsed="false">
      <c r="A43" s="23" t="s">
        <v>183</v>
      </c>
      <c r="B43" s="24" t="n">
        <v>800000000</v>
      </c>
      <c r="C43" s="25" t="s">
        <v>124</v>
      </c>
      <c r="D43" s="25" t="s">
        <v>184</v>
      </c>
    </row>
    <row r="44" customFormat="false" ht="15" hidden="false" customHeight="true" outlineLevel="0" collapsed="false">
      <c r="A44" s="32" t="s">
        <v>185</v>
      </c>
      <c r="B44" s="24" t="n">
        <v>70000000</v>
      </c>
      <c r="C44" s="25" t="s">
        <v>124</v>
      </c>
      <c r="D44" s="25" t="s">
        <v>186</v>
      </c>
    </row>
    <row r="45" customFormat="false" ht="15" hidden="false" customHeight="true" outlineLevel="0" collapsed="false">
      <c r="A45" s="32" t="s">
        <v>187</v>
      </c>
      <c r="B45" s="24" t="n">
        <v>100000000</v>
      </c>
      <c r="C45" s="25" t="s">
        <v>124</v>
      </c>
      <c r="D45" s="25" t="s">
        <v>188</v>
      </c>
    </row>
    <row r="46" customFormat="false" ht="15" hidden="false" customHeight="true" outlineLevel="0" collapsed="false">
      <c r="A46" s="32" t="s">
        <v>189</v>
      </c>
      <c r="B46" s="24" t="n">
        <v>50000000</v>
      </c>
      <c r="C46" s="25" t="s">
        <v>124</v>
      </c>
      <c r="D46" s="25" t="s">
        <v>190</v>
      </c>
    </row>
    <row r="47" customFormat="false" ht="15" hidden="false" customHeight="true" outlineLevel="0" collapsed="false">
      <c r="A47" s="23" t="s">
        <v>191</v>
      </c>
      <c r="B47" s="33" t="n">
        <v>1</v>
      </c>
      <c r="C47" s="25" t="s">
        <v>192</v>
      </c>
      <c r="D47" s="25" t="s">
        <v>193</v>
      </c>
    </row>
    <row r="49" customFormat="false" ht="16.5" hidden="false" customHeight="true" outlineLevel="0" collapsed="false">
      <c r="A49" s="18" t="s">
        <v>194</v>
      </c>
    </row>
    <row r="50" customFormat="false" ht="16.5" hidden="false" customHeight="true" outlineLevel="0" collapsed="false">
      <c r="A50" s="1" t="s">
        <v>195</v>
      </c>
      <c r="B50" s="34" t="n">
        <v>1000</v>
      </c>
      <c r="C50" s="1" t="s">
        <v>196</v>
      </c>
      <c r="D50" s="1" t="s">
        <v>197</v>
      </c>
    </row>
    <row r="51" customFormat="false" ht="16.5" hidden="false" customHeight="true" outlineLevel="0" collapsed="false">
      <c r="A51" s="1" t="s">
        <v>198</v>
      </c>
      <c r="B51" s="34" t="n">
        <v>350</v>
      </c>
      <c r="C51" s="1" t="s">
        <v>199</v>
      </c>
      <c r="D51" s="1" t="s">
        <v>200</v>
      </c>
    </row>
    <row r="52" customFormat="false" ht="16.5" hidden="false" customHeight="true" outlineLevel="0" collapsed="false">
      <c r="A52" s="1" t="s">
        <v>201</v>
      </c>
      <c r="B52" s="34" t="n">
        <v>1</v>
      </c>
      <c r="C52" s="1" t="s">
        <v>202</v>
      </c>
      <c r="D52" s="1" t="s">
        <v>203</v>
      </c>
    </row>
    <row r="53" customFormat="false" ht="16.5" hidden="false" customHeight="true" outlineLevel="0" collapsed="false">
      <c r="A53" s="1" t="s">
        <v>204</v>
      </c>
      <c r="B53" s="34" t="n">
        <v>50</v>
      </c>
      <c r="C53" s="1" t="s">
        <v>205</v>
      </c>
      <c r="D53" s="1" t="s">
        <v>206</v>
      </c>
    </row>
    <row r="54" customFormat="false" ht="16.5" hidden="false" customHeight="true" outlineLevel="0" collapsed="false">
      <c r="A54" s="1" t="s">
        <v>207</v>
      </c>
      <c r="B54" s="34" t="n">
        <v>100</v>
      </c>
      <c r="C54" s="1" t="s">
        <v>205</v>
      </c>
      <c r="D54" s="1" t="s">
        <v>208</v>
      </c>
    </row>
    <row r="55" customFormat="false" ht="16.5" hidden="false" customHeight="true" outlineLevel="0" collapsed="false">
      <c r="A55" s="1" t="s">
        <v>209</v>
      </c>
      <c r="B55" s="34" t="n">
        <v>200</v>
      </c>
      <c r="C55" s="1" t="s">
        <v>205</v>
      </c>
      <c r="D55" s="1" t="s">
        <v>208</v>
      </c>
    </row>
    <row r="56" customFormat="false" ht="15" hidden="false" customHeight="true" outlineLevel="0" collapsed="false">
      <c r="A56" s="1" t="s">
        <v>210</v>
      </c>
      <c r="B56" s="35" t="n">
        <f aca="false">B50*30*B52*B53</f>
        <v>1500000</v>
      </c>
      <c r="C56" s="1" t="s">
        <v>147</v>
      </c>
      <c r="D56" s="1" t="s">
        <v>211</v>
      </c>
    </row>
    <row r="57" customFormat="false" ht="15" hidden="false" customHeight="true" outlineLevel="0" collapsed="false">
      <c r="A57" s="1" t="s">
        <v>212</v>
      </c>
      <c r="B57" s="35" t="n">
        <f aca="false">B50*30*B52*B54</f>
        <v>3000000</v>
      </c>
      <c r="C57" s="1" t="s">
        <v>147</v>
      </c>
      <c r="D57" s="1" t="s">
        <v>211</v>
      </c>
    </row>
    <row r="58" customFormat="false" ht="15" hidden="false" customHeight="true" outlineLevel="0" collapsed="false">
      <c r="A58" s="1" t="s">
        <v>213</v>
      </c>
      <c r="B58" s="35" t="n">
        <f aca="false">B50*30*B52*B55</f>
        <v>6000000</v>
      </c>
      <c r="C58" s="1" t="s">
        <v>147</v>
      </c>
      <c r="D58" s="1" t="s">
        <v>211</v>
      </c>
    </row>
    <row r="60" customFormat="false" ht="17.15" hidden="false" customHeight="false" outlineLevel="0" collapsed="false">
      <c r="A60" s="36" t="s">
        <v>214</v>
      </c>
    </row>
    <row r="62" customFormat="false" ht="15" hidden="false" customHeight="false" outlineLevel="0" collapsed="false">
      <c r="A62" s="37" t="s">
        <v>215</v>
      </c>
      <c r="B62" s="37" t="s">
        <v>216</v>
      </c>
      <c r="C62" s="37" t="s">
        <v>217</v>
      </c>
      <c r="D62" s="37" t="s">
        <v>218</v>
      </c>
      <c r="E62" s="38" t="s">
        <v>219</v>
      </c>
    </row>
    <row r="63" customFormat="false" ht="15" hidden="false" customHeight="false" outlineLevel="0" collapsed="false">
      <c r="A63" s="39" t="s">
        <v>220</v>
      </c>
      <c r="B63" s="40" t="n">
        <v>70000000</v>
      </c>
      <c r="C63" s="41" t="s">
        <v>221</v>
      </c>
      <c r="D63" s="42" t="s">
        <v>222</v>
      </c>
      <c r="E63" s="43" t="s">
        <v>223</v>
      </c>
    </row>
    <row r="64" customFormat="false" ht="15" hidden="false" customHeight="false" outlineLevel="0" collapsed="false">
      <c r="A64" s="44" t="s">
        <v>224</v>
      </c>
      <c r="B64" s="40" t="n">
        <v>50000000</v>
      </c>
      <c r="C64" s="41" t="s">
        <v>225</v>
      </c>
      <c r="D64" s="42" t="s">
        <v>226</v>
      </c>
      <c r="E64" s="43" t="s">
        <v>223</v>
      </c>
    </row>
    <row r="65" customFormat="false" ht="15" hidden="false" customHeight="false" outlineLevel="0" collapsed="false">
      <c r="A65" s="44" t="s">
        <v>227</v>
      </c>
      <c r="B65" s="40" t="n">
        <v>50000000</v>
      </c>
      <c r="C65" s="41" t="s">
        <v>228</v>
      </c>
      <c r="D65" s="42" t="s">
        <v>229</v>
      </c>
      <c r="E65" s="43" t="s">
        <v>223</v>
      </c>
    </row>
    <row r="66" customFormat="false" ht="15" hidden="false" customHeight="false" outlineLevel="0" collapsed="false">
      <c r="A66" s="39" t="s">
        <v>230</v>
      </c>
      <c r="B66" s="40" t="n">
        <v>40000000</v>
      </c>
      <c r="C66" s="41" t="s">
        <v>228</v>
      </c>
      <c r="D66" s="42" t="s">
        <v>231</v>
      </c>
      <c r="E66" s="43" t="s">
        <v>223</v>
      </c>
    </row>
    <row r="67" customFormat="false" ht="15" hidden="false" customHeight="false" outlineLevel="0" collapsed="false">
      <c r="A67" s="39" t="s">
        <v>232</v>
      </c>
      <c r="B67" s="40" t="n">
        <v>100000000</v>
      </c>
      <c r="C67" s="41" t="s">
        <v>233</v>
      </c>
      <c r="D67" s="42" t="s">
        <v>234</v>
      </c>
      <c r="E67" s="45" t="s">
        <v>235</v>
      </c>
    </row>
    <row r="68" customFormat="false" ht="15" hidden="false" customHeight="false" outlineLevel="0" collapsed="false">
      <c r="A68" s="39" t="s">
        <v>236</v>
      </c>
      <c r="B68" s="40" t="n">
        <v>100000000</v>
      </c>
      <c r="C68" s="41" t="s">
        <v>233</v>
      </c>
      <c r="D68" s="42" t="s">
        <v>237</v>
      </c>
      <c r="E68" s="45" t="s">
        <v>235</v>
      </c>
    </row>
    <row r="69" customFormat="false" ht="15" hidden="false" customHeight="false" outlineLevel="0" collapsed="false">
      <c r="A69" s="44" t="s">
        <v>238</v>
      </c>
      <c r="B69" s="40" t="n">
        <v>10000000</v>
      </c>
      <c r="C69" s="41" t="s">
        <v>228</v>
      </c>
      <c r="D69" s="42" t="s">
        <v>239</v>
      </c>
      <c r="E69" s="45" t="s">
        <v>235</v>
      </c>
    </row>
    <row r="70" customFormat="false" ht="15" hidden="false" customHeight="false" outlineLevel="0" collapsed="false">
      <c r="A70" s="39" t="s">
        <v>240</v>
      </c>
      <c r="B70" s="40" t="n">
        <v>70000000</v>
      </c>
      <c r="C70" s="41" t="s">
        <v>241</v>
      </c>
      <c r="D70" s="42" t="s">
        <v>242</v>
      </c>
      <c r="E70" s="45" t="s">
        <v>235</v>
      </c>
    </row>
    <row r="71" customFormat="false" ht="15" hidden="false" customHeight="false" outlineLevel="0" collapsed="false">
      <c r="A71" s="39" t="s">
        <v>243</v>
      </c>
      <c r="B71" s="40" t="n">
        <v>70000000</v>
      </c>
      <c r="C71" s="41" t="s">
        <v>244</v>
      </c>
      <c r="D71" s="42" t="s">
        <v>245</v>
      </c>
      <c r="E71" s="45" t="s">
        <v>235</v>
      </c>
    </row>
    <row r="72" customFormat="false" ht="15" hidden="false" customHeight="false" outlineLevel="0" collapsed="false">
      <c r="A72" s="39" t="s">
        <v>246</v>
      </c>
      <c r="B72" s="40" t="n">
        <v>50000000</v>
      </c>
      <c r="C72" s="41" t="s">
        <v>244</v>
      </c>
      <c r="D72" s="42" t="s">
        <v>247</v>
      </c>
      <c r="E72" s="45" t="s">
        <v>235</v>
      </c>
    </row>
    <row r="73" customFormat="false" ht="15" hidden="false" customHeight="false" outlineLevel="0" collapsed="false">
      <c r="A73" s="39" t="s">
        <v>248</v>
      </c>
      <c r="B73" s="40" t="n">
        <v>43200000</v>
      </c>
      <c r="C73" s="41" t="s">
        <v>244</v>
      </c>
      <c r="D73" s="42" t="s">
        <v>249</v>
      </c>
      <c r="E73" s="45" t="s">
        <v>235</v>
      </c>
    </row>
    <row r="74" customFormat="false" ht="15" hidden="false" customHeight="false" outlineLevel="0" collapsed="false">
      <c r="A74" s="39" t="s">
        <v>250</v>
      </c>
      <c r="B74" s="40" t="n">
        <v>200000000</v>
      </c>
      <c r="C74" s="41" t="s">
        <v>251</v>
      </c>
      <c r="D74" s="42" t="s">
        <v>252</v>
      </c>
      <c r="E74" s="45" t="s">
        <v>235</v>
      </c>
    </row>
    <row r="75" customFormat="false" ht="15" hidden="false" customHeight="false" outlineLevel="0" collapsed="false">
      <c r="A75" s="39" t="s">
        <v>253</v>
      </c>
      <c r="B75" s="40" t="n">
        <v>50000000</v>
      </c>
      <c r="C75" s="41" t="s">
        <v>254</v>
      </c>
      <c r="D75" s="46" t="s">
        <v>255</v>
      </c>
      <c r="E75" s="45" t="s">
        <v>235</v>
      </c>
    </row>
    <row r="76" customFormat="false" ht="15" hidden="false" customHeight="false" outlineLevel="0" collapsed="false">
      <c r="A76" s="44" t="s">
        <v>256</v>
      </c>
      <c r="B76" s="40" t="n">
        <v>30000000</v>
      </c>
      <c r="C76" s="41" t="s">
        <v>257</v>
      </c>
      <c r="D76" s="46" t="s">
        <v>258</v>
      </c>
      <c r="E76" s="45" t="s">
        <v>235</v>
      </c>
    </row>
    <row r="77" customFormat="false" ht="15" hidden="false" customHeight="false" outlineLevel="0" collapsed="false">
      <c r="A77" s="39" t="s">
        <v>259</v>
      </c>
      <c r="B77" s="40" t="n">
        <v>150000000</v>
      </c>
      <c r="C77" s="41" t="s">
        <v>260</v>
      </c>
      <c r="D77" s="42" t="s">
        <v>261</v>
      </c>
      <c r="E77" s="45" t="s">
        <v>235</v>
      </c>
    </row>
    <row r="78" customFormat="false" ht="15" hidden="false" customHeight="false" outlineLevel="0" collapsed="false">
      <c r="A78" s="44" t="s">
        <v>262</v>
      </c>
      <c r="B78" s="40" t="n">
        <v>800000000</v>
      </c>
      <c r="C78" s="41" t="s">
        <v>263</v>
      </c>
      <c r="D78" s="42" t="s">
        <v>264</v>
      </c>
      <c r="E78" s="47" t="s">
        <v>265</v>
      </c>
    </row>
    <row r="79" customFormat="false" ht="15" hidden="false" customHeight="false" outlineLevel="0" collapsed="false">
      <c r="A79" s="44" t="s">
        <v>266</v>
      </c>
      <c r="B79" s="40" t="n">
        <v>500000000</v>
      </c>
      <c r="C79" s="41" t="s">
        <v>267</v>
      </c>
      <c r="D79" s="42" t="s">
        <v>268</v>
      </c>
      <c r="E79" s="47" t="s">
        <v>265</v>
      </c>
    </row>
    <row r="80" customFormat="false" ht="15" hidden="false" customHeight="false" outlineLevel="0" collapsed="false">
      <c r="A80" s="39" t="s">
        <v>269</v>
      </c>
      <c r="B80" s="40" t="n">
        <v>300000000</v>
      </c>
      <c r="C80" s="41" t="s">
        <v>267</v>
      </c>
      <c r="D80" s="42" t="s">
        <v>270</v>
      </c>
      <c r="E80" s="47" t="s">
        <v>265</v>
      </c>
    </row>
    <row r="81" customFormat="false" ht="15" hidden="false" customHeight="false" outlineLevel="0" collapsed="false">
      <c r="A81" s="39" t="s">
        <v>271</v>
      </c>
      <c r="B81" s="40" t="n">
        <v>300000000</v>
      </c>
      <c r="C81" s="41" t="s">
        <v>272</v>
      </c>
      <c r="D81" s="42" t="s">
        <v>273</v>
      </c>
      <c r="E81" s="47" t="s">
        <v>265</v>
      </c>
    </row>
    <row r="82" customFormat="false" ht="15" hidden="false" customHeight="false" outlineLevel="0" collapsed="false">
      <c r="A82" s="39" t="s">
        <v>274</v>
      </c>
      <c r="B82" s="40" t="n">
        <v>400000000</v>
      </c>
      <c r="C82" s="41" t="s">
        <v>244</v>
      </c>
      <c r="D82" s="42" t="s">
        <v>275</v>
      </c>
      <c r="E82" s="48" t="s">
        <v>276</v>
      </c>
    </row>
    <row r="83" customFormat="false" ht="15" hidden="false" customHeight="false" outlineLevel="0" collapsed="false">
      <c r="A83" s="39" t="s">
        <v>277</v>
      </c>
      <c r="B83" s="40" t="n">
        <v>400000000</v>
      </c>
      <c r="C83" s="41" t="s">
        <v>244</v>
      </c>
      <c r="D83" s="42" t="s">
        <v>278</v>
      </c>
      <c r="E83" s="48" t="s">
        <v>276</v>
      </c>
    </row>
    <row r="84" customFormat="false" ht="15" hidden="false" customHeight="false" outlineLevel="0" collapsed="false">
      <c r="A84" s="39" t="s">
        <v>279</v>
      </c>
      <c r="B84" s="40" t="n">
        <v>200000000</v>
      </c>
      <c r="C84" s="41" t="s">
        <v>257</v>
      </c>
      <c r="D84" s="46" t="s">
        <v>280</v>
      </c>
      <c r="E84" s="48" t="s">
        <v>276</v>
      </c>
    </row>
    <row r="85" customFormat="false" ht="17.15" hidden="false" customHeight="false" outlineLevel="0" collapsed="false">
      <c r="A85" s="49" t="s">
        <v>281</v>
      </c>
      <c r="B85" s="50" t="n">
        <f aca="false">SUMIF(E63:E84,"&lt;&gt;보증·대출",B63:B84)</f>
        <v>2983200000</v>
      </c>
      <c r="D85" s="51" t="s">
        <v>282</v>
      </c>
    </row>
    <row r="86" customFormat="false" ht="17.15" hidden="false" customHeight="false" outlineLevel="0" collapsed="false">
      <c r="A86" s="49" t="s">
        <v>283</v>
      </c>
      <c r="B86" s="50" t="n">
        <f aca="false">SUMIF(E63:E84,"보증·대출",B63:B84)</f>
        <v>1000000000</v>
      </c>
      <c r="D86" s="52" t="s">
        <v>284</v>
      </c>
    </row>
    <row r="88" customFormat="false" ht="15" hidden="false" customHeight="false" outlineLevel="0" collapsed="false">
      <c r="A88" s="53" t="s">
        <v>285</v>
      </c>
    </row>
    <row r="89" customFormat="false" ht="15" hidden="false" customHeight="false" outlineLevel="0" collapsed="false">
      <c r="A89" s="54" t="s">
        <v>286</v>
      </c>
    </row>
  </sheetData>
  <mergeCells count="7">
    <mergeCell ref="A1:D1"/>
    <mergeCell ref="A3:D3"/>
    <mergeCell ref="A6:D6"/>
    <mergeCell ref="A21:D21"/>
    <mergeCell ref="A28:D28"/>
    <mergeCell ref="A34:D34"/>
    <mergeCell ref="A39:D3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1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A1" activeCellId="0" sqref="A1"/>
    </sheetView>
  </sheetViews>
  <sheetFormatPr defaultColWidth="8.66796875" defaultRowHeight="15" customHeight="false" zeroHeight="false" outlineLevelRow="0" outlineLevelCol="0"/>
  <cols>
    <col collapsed="false" customWidth="true" hidden="false" outlineLevel="0" max="1" min="1" style="1" width="32"/>
    <col collapsed="false" customWidth="true" hidden="false" outlineLevel="0" max="5" min="2" style="1" width="16"/>
  </cols>
  <sheetData>
    <row r="1" customFormat="false" ht="109.5" hidden="false" customHeight="true" outlineLevel="0" collapsed="false">
      <c r="A1" s="21" t="s">
        <v>287</v>
      </c>
      <c r="B1" s="21"/>
      <c r="C1" s="21"/>
      <c r="D1" s="21"/>
      <c r="E1" s="21"/>
    </row>
    <row r="2" customFormat="false" ht="16.5" hidden="false" customHeight="true" outlineLevel="0" collapsed="false">
      <c r="A2" s="9" t="s">
        <v>288</v>
      </c>
    </row>
    <row r="3" customFormat="false" ht="16.5" hidden="false" customHeight="true" outlineLevel="0" collapsed="false">
      <c r="A3" s="55" t="s">
        <v>289</v>
      </c>
    </row>
    <row r="5" customFormat="false" ht="15" hidden="false" customHeight="true" outlineLevel="0" collapsed="false">
      <c r="A5" s="56" t="s">
        <v>290</v>
      </c>
      <c r="B5" s="56" t="s">
        <v>291</v>
      </c>
      <c r="C5" s="56" t="s">
        <v>292</v>
      </c>
      <c r="D5" s="56" t="s">
        <v>293</v>
      </c>
      <c r="E5" s="56" t="s">
        <v>294</v>
      </c>
    </row>
    <row r="6" customFormat="false" ht="15" hidden="false" customHeight="true" outlineLevel="0" collapsed="false">
      <c r="A6" s="23" t="s">
        <v>295</v>
      </c>
      <c r="B6" s="27" t="n">
        <f aca="false">Assumptions!$B$8</f>
        <v>70000</v>
      </c>
      <c r="C6" s="27" t="n">
        <f aca="false">Assumptions!$B$8</f>
        <v>70000</v>
      </c>
      <c r="D6" s="57" t="n">
        <f aca="false">B6/Assumptions!$B$4</f>
        <v>50</v>
      </c>
      <c r="E6" s="57" t="n">
        <f aca="false">C6/Assumptions!$B$4</f>
        <v>50</v>
      </c>
    </row>
    <row r="7" customFormat="false" ht="15" hidden="false" customHeight="true" outlineLevel="0" collapsed="false">
      <c r="A7" s="23" t="s">
        <v>296</v>
      </c>
      <c r="B7" s="27" t="n">
        <f aca="false">B6</f>
        <v>70000</v>
      </c>
      <c r="C7" s="27" t="n">
        <f aca="false">C6</f>
        <v>70000</v>
      </c>
      <c r="D7" s="57" t="n">
        <f aca="false">B7/Assumptions!$B$4</f>
        <v>50</v>
      </c>
      <c r="E7" s="57" t="n">
        <f aca="false">C7/Assumptions!$B$4</f>
        <v>50</v>
      </c>
    </row>
    <row r="8" customFormat="false" ht="15" hidden="false" customHeight="true" outlineLevel="0" collapsed="false">
      <c r="A8" s="23" t="s">
        <v>297</v>
      </c>
      <c r="B8" s="27" t="n">
        <f aca="false">B7*Assumptions!$B$10</f>
        <v>49000</v>
      </c>
      <c r="C8" s="27" t="n">
        <f aca="false">C7*Assumptions!$B$10</f>
        <v>49000</v>
      </c>
      <c r="D8" s="57" t="n">
        <f aca="false">B8/Assumptions!$B$4</f>
        <v>35</v>
      </c>
      <c r="E8" s="57" t="n">
        <f aca="false">C8/Assumptions!$B$4</f>
        <v>35</v>
      </c>
    </row>
    <row r="9" customFormat="false" ht="15" hidden="false" customHeight="true" outlineLevel="0" collapsed="false">
      <c r="A9" s="58" t="s">
        <v>298</v>
      </c>
      <c r="B9" s="27" t="n">
        <f aca="false">B7-B8</f>
        <v>21000</v>
      </c>
      <c r="C9" s="27" t="n">
        <f aca="false">C7-C8</f>
        <v>21000</v>
      </c>
      <c r="D9" s="57" t="n">
        <f aca="false">B9/Assumptions!$B$4</f>
        <v>15</v>
      </c>
      <c r="E9" s="57" t="n">
        <f aca="false">C9/Assumptions!$B$4</f>
        <v>15</v>
      </c>
    </row>
    <row r="10" customFormat="false" ht="15" hidden="false" customHeight="true" outlineLevel="0" collapsed="false">
      <c r="A10" s="23" t="s">
        <v>299</v>
      </c>
      <c r="B10" s="27" t="n">
        <f aca="false">B7*0.025</f>
        <v>1750</v>
      </c>
      <c r="C10" s="27" t="n">
        <f aca="false">C7*0.06</f>
        <v>4200</v>
      </c>
      <c r="D10" s="57" t="n">
        <f aca="false">B10/Assumptions!$B$4</f>
        <v>1.25</v>
      </c>
      <c r="E10" s="57" t="n">
        <f aca="false">C10/Assumptions!$B$4</f>
        <v>3</v>
      </c>
    </row>
    <row r="11" customFormat="false" ht="15" hidden="false" customHeight="true" outlineLevel="0" collapsed="false">
      <c r="A11" s="23" t="s">
        <v>300</v>
      </c>
      <c r="B11" s="27" t="n">
        <f aca="false">Assumptions!$B$12</f>
        <v>12000</v>
      </c>
      <c r="C11" s="27" t="n">
        <f aca="false">Assumptions!$B$12</f>
        <v>12000</v>
      </c>
      <c r="D11" s="57" t="n">
        <f aca="false">B11/Assumptions!$B$4</f>
        <v>8.57142857142857</v>
      </c>
      <c r="E11" s="57" t="n">
        <f aca="false">C11/Assumptions!$B$4</f>
        <v>8.57142857142857</v>
      </c>
    </row>
    <row r="12" customFormat="false" ht="15" hidden="false" customHeight="true" outlineLevel="0" collapsed="false">
      <c r="A12" s="23" t="s">
        <v>301</v>
      </c>
      <c r="B12" s="27" t="n">
        <f aca="false">B7*0.1</f>
        <v>7000</v>
      </c>
      <c r="C12" s="27" t="n">
        <f aca="false">C7*0.1</f>
        <v>7000</v>
      </c>
      <c r="D12" s="57" t="n">
        <f aca="false">B12/Assumptions!$B$4</f>
        <v>5</v>
      </c>
      <c r="E12" s="57" t="n">
        <f aca="false">C12/Assumptions!$B$4</f>
        <v>5</v>
      </c>
    </row>
    <row r="13" customFormat="false" ht="15" hidden="false" customHeight="true" outlineLevel="0" collapsed="false">
      <c r="A13" s="58" t="s">
        <v>302</v>
      </c>
      <c r="B13" s="27" t="n">
        <f aca="false">B9-B10-B11-B12</f>
        <v>250</v>
      </c>
      <c r="C13" s="27" t="n">
        <f aca="false">C9-C10-C11-C12</f>
        <v>-2200</v>
      </c>
      <c r="D13" s="57" t="n">
        <f aca="false">B13/Assumptions!$B$4</f>
        <v>0.178571428571429</v>
      </c>
      <c r="E13" s="57" t="n">
        <f aca="false">C13/Assumptions!$B$4</f>
        <v>-1.57142857142857</v>
      </c>
    </row>
    <row r="14" customFormat="false" ht="15" hidden="false" customHeight="true" outlineLevel="0" collapsed="false">
      <c r="A14" s="58" t="s">
        <v>303</v>
      </c>
      <c r="B14" s="59" t="n">
        <f aca="false">B13/B7</f>
        <v>0.00357142857142857</v>
      </c>
      <c r="C14" s="59" t="n">
        <f aca="false">C13/C7</f>
        <v>-0.0314285714285714</v>
      </c>
      <c r="D14" s="60" t="n">
        <f aca="false">B14</f>
        <v>0.00357142857142857</v>
      </c>
      <c r="E14" s="60" t="n">
        <f aca="false">C14</f>
        <v>-0.0314285714285714</v>
      </c>
    </row>
    <row r="16" customFormat="false" ht="16.5" hidden="false" customHeight="true" outlineLevel="0" collapsed="false">
      <c r="A16" s="1" t="s">
        <v>304</v>
      </c>
    </row>
    <row r="17" customFormat="false" ht="15" hidden="false" customHeight="true" outlineLevel="0" collapsed="false">
      <c r="A17" s="55" t="s">
        <v>305</v>
      </c>
    </row>
    <row r="18" customFormat="false" ht="14.25" hidden="false" customHeight="true" outlineLevel="0" collapsed="false">
      <c r="A18" s="61" t="s">
        <v>306</v>
      </c>
    </row>
    <row r="19" customFormat="false" ht="14.25" hidden="false" customHeight="true" outlineLevel="0" collapsed="false">
      <c r="A19" s="61" t="s">
        <v>307</v>
      </c>
    </row>
    <row r="20" customFormat="false" ht="14.25" hidden="false" customHeight="true" outlineLevel="0" collapsed="false">
      <c r="A20" s="62" t="s">
        <v>308</v>
      </c>
      <c r="B20" s="62"/>
      <c r="C20" s="62"/>
      <c r="D20" s="62"/>
      <c r="E20" s="62"/>
    </row>
    <row r="21" customFormat="false" ht="14.25" hidden="false" customHeight="true" outlineLevel="0" collapsed="false">
      <c r="A21" s="63" t="s">
        <v>309</v>
      </c>
      <c r="B21" s="63"/>
      <c r="C21" s="63"/>
      <c r="D21" s="63"/>
      <c r="E21" s="63"/>
    </row>
  </sheetData>
  <mergeCells count="3">
    <mergeCell ref="A1:E1"/>
    <mergeCell ref="A20:E20"/>
    <mergeCell ref="A21:E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4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D10" activeCellId="0" sqref="D10"/>
    </sheetView>
  </sheetViews>
  <sheetFormatPr defaultColWidth="8.66796875" defaultRowHeight="15" customHeight="false" zeroHeight="false" outlineLevelRow="0" outlineLevelCol="0"/>
  <cols>
    <col collapsed="false" customWidth="true" hidden="false" outlineLevel="0" max="1" min="1" style="1" width="9.67"/>
    <col collapsed="false" customWidth="true" hidden="false" outlineLevel="0" max="2" min="2" style="1" width="12.5"/>
    <col collapsed="false" customWidth="true" hidden="false" outlineLevel="0" max="3" min="3" style="1" width="7.16"/>
    <col collapsed="false" customWidth="true" hidden="false" outlineLevel="0" max="4" min="4" style="1" width="32.83"/>
    <col collapsed="false" customWidth="true" hidden="false" outlineLevel="0" max="5" min="5" style="1" width="45.33"/>
    <col collapsed="false" customWidth="true" hidden="false" outlineLevel="0" max="6" min="6" style="1" width="38"/>
    <col collapsed="false" customWidth="true" hidden="false" outlineLevel="0" max="7" min="7" style="1" width="32.67"/>
    <col collapsed="false" customWidth="true" hidden="false" outlineLevel="0" max="8" min="8" style="1" width="35"/>
  </cols>
  <sheetData>
    <row r="1" customFormat="false" ht="109.5" hidden="false" customHeight="true" outlineLevel="0" collapsed="false">
      <c r="A1" s="21" t="s">
        <v>310</v>
      </c>
      <c r="B1" s="21"/>
      <c r="C1" s="21"/>
      <c r="D1" s="21"/>
      <c r="E1" s="21"/>
      <c r="F1" s="21"/>
      <c r="G1" s="21"/>
      <c r="H1" s="21"/>
    </row>
    <row r="3" customFormat="false" ht="16.5" hidden="false" customHeight="true" outlineLevel="0" collapsed="false">
      <c r="A3" s="56" t="s">
        <v>311</v>
      </c>
      <c r="B3" s="56" t="s">
        <v>312</v>
      </c>
      <c r="C3" s="56" t="s">
        <v>313</v>
      </c>
      <c r="D3" s="56" t="s">
        <v>314</v>
      </c>
      <c r="E3" s="56" t="s">
        <v>315</v>
      </c>
      <c r="F3" s="56" t="s">
        <v>316</v>
      </c>
      <c r="G3" s="56" t="s">
        <v>317</v>
      </c>
      <c r="H3" s="56" t="s">
        <v>318</v>
      </c>
    </row>
    <row r="4" customFormat="false" ht="15" hidden="false" customHeight="true" outlineLevel="0" collapsed="false">
      <c r="A4" s="64" t="n">
        <v>1</v>
      </c>
      <c r="B4" s="1" t="s">
        <v>319</v>
      </c>
      <c r="C4" s="65" t="n">
        <f aca="false">Assumptions!$B$15</f>
        <v>150</v>
      </c>
      <c r="D4" s="65" t="n">
        <f aca="false">Assumptions!$B$8</f>
        <v>70000</v>
      </c>
      <c r="E4" s="66" t="n">
        <f aca="false">C4*D4</f>
        <v>10500000</v>
      </c>
      <c r="F4" s="66" t="n">
        <f aca="false">E4</f>
        <v>10500000</v>
      </c>
      <c r="G4" s="67" t="n">
        <f aca="false">F4/Assumptions!$B$4</f>
        <v>7500</v>
      </c>
      <c r="H4" s="66" t="n">
        <f aca="false">F4</f>
        <v>10500000</v>
      </c>
    </row>
    <row r="5" customFormat="false" ht="15" hidden="false" customHeight="true" outlineLevel="0" collapsed="false">
      <c r="A5" s="64" t="n">
        <v>2</v>
      </c>
      <c r="B5" s="1" t="s">
        <v>320</v>
      </c>
      <c r="C5" s="66" t="n">
        <f aca="false">C4*(1+IF(A5&lt;=6,Assumptions!$B$16,IF(A5&lt;=12,Assumptions!$B$17,IF(A5&lt;=24,Assumptions!$B$18,Assumptions!$B$19))))</f>
        <v>187.5</v>
      </c>
      <c r="D5" s="65" t="n">
        <f aca="false">Assumptions!$B$8</f>
        <v>70000</v>
      </c>
      <c r="E5" s="66" t="n">
        <f aca="false">C5*D5</f>
        <v>13125000</v>
      </c>
      <c r="F5" s="66" t="n">
        <f aca="false">E5</f>
        <v>13125000</v>
      </c>
      <c r="G5" s="67" t="n">
        <f aca="false">F5/Assumptions!$B$4</f>
        <v>9375</v>
      </c>
      <c r="H5" s="66" t="n">
        <f aca="false">H4+F5</f>
        <v>23625000</v>
      </c>
    </row>
    <row r="6" customFormat="false" ht="15" hidden="false" customHeight="true" outlineLevel="0" collapsed="false">
      <c r="A6" s="64" t="n">
        <v>3</v>
      </c>
      <c r="B6" s="1" t="s">
        <v>321</v>
      </c>
      <c r="C6" s="66" t="n">
        <f aca="false">C5*(1+IF(A6&lt;=6,Assumptions!$B$16,IF(A6&lt;=12,Assumptions!$B$17,IF(A6&lt;=24,Assumptions!$B$18,Assumptions!$B$19))))</f>
        <v>234.375</v>
      </c>
      <c r="D6" s="65" t="n">
        <f aca="false">Assumptions!$B$8</f>
        <v>70000</v>
      </c>
      <c r="E6" s="66" t="n">
        <f aca="false">C6*D6</f>
        <v>16406250</v>
      </c>
      <c r="F6" s="66" t="n">
        <f aca="false">E6</f>
        <v>16406250</v>
      </c>
      <c r="G6" s="67" t="n">
        <f aca="false">F6/Assumptions!$B$4</f>
        <v>11718.75</v>
      </c>
      <c r="H6" s="66" t="n">
        <f aca="false">H5+F6</f>
        <v>40031250</v>
      </c>
    </row>
    <row r="7" customFormat="false" ht="15" hidden="false" customHeight="true" outlineLevel="0" collapsed="false">
      <c r="A7" s="64" t="n">
        <v>4</v>
      </c>
      <c r="B7" s="1" t="s">
        <v>322</v>
      </c>
      <c r="C7" s="66" t="n">
        <f aca="false">C6*(1+IF(A7&lt;=6,Assumptions!$B$16,IF(A7&lt;=12,Assumptions!$B$17,IF(A7&lt;=24,Assumptions!$B$18,Assumptions!$B$19))))</f>
        <v>292.96875</v>
      </c>
      <c r="D7" s="65" t="n">
        <f aca="false">Assumptions!$B$8</f>
        <v>70000</v>
      </c>
      <c r="E7" s="66" t="n">
        <f aca="false">C7*D7</f>
        <v>20507812.5</v>
      </c>
      <c r="F7" s="66" t="n">
        <f aca="false">E7</f>
        <v>20507812.5</v>
      </c>
      <c r="G7" s="67" t="n">
        <f aca="false">F7/Assumptions!$B$4</f>
        <v>14648.4375</v>
      </c>
      <c r="H7" s="66" t="n">
        <f aca="false">H6+F7</f>
        <v>60539062.5</v>
      </c>
    </row>
    <row r="8" customFormat="false" ht="15" hidden="false" customHeight="true" outlineLevel="0" collapsed="false">
      <c r="A8" s="64" t="n">
        <v>5</v>
      </c>
      <c r="B8" s="1" t="s">
        <v>323</v>
      </c>
      <c r="C8" s="66" t="n">
        <f aca="false">C7*(1+IF(A8&lt;=6,Assumptions!$B$16,IF(A8&lt;=12,Assumptions!$B$17,IF(A8&lt;=24,Assumptions!$B$18,Assumptions!$B$19))))</f>
        <v>366.2109375</v>
      </c>
      <c r="D8" s="65" t="n">
        <f aca="false">Assumptions!$B$8</f>
        <v>70000</v>
      </c>
      <c r="E8" s="66" t="n">
        <f aca="false">C8*D8</f>
        <v>25634765.625</v>
      </c>
      <c r="F8" s="66" t="n">
        <f aca="false">E8</f>
        <v>25634765.625</v>
      </c>
      <c r="G8" s="67" t="n">
        <f aca="false">F8/Assumptions!$B$4</f>
        <v>18310.546875</v>
      </c>
      <c r="H8" s="66" t="n">
        <f aca="false">H7+F8</f>
        <v>86173828.125</v>
      </c>
    </row>
    <row r="9" customFormat="false" ht="15" hidden="false" customHeight="true" outlineLevel="0" collapsed="false">
      <c r="A9" s="64" t="n">
        <v>6</v>
      </c>
      <c r="B9" s="1" t="s">
        <v>324</v>
      </c>
      <c r="C9" s="66" t="n">
        <f aca="false">C8*(1+IF(A9&lt;=6,Assumptions!$B$16,IF(A9&lt;=12,Assumptions!$B$17,IF(A9&lt;=24,Assumptions!$B$18,Assumptions!$B$19))))</f>
        <v>457.763671875</v>
      </c>
      <c r="D9" s="65" t="n">
        <f aca="false">Assumptions!$B$8</f>
        <v>70000</v>
      </c>
      <c r="E9" s="66" t="n">
        <f aca="false">C9*D9</f>
        <v>32043457.03125</v>
      </c>
      <c r="F9" s="66" t="n">
        <f aca="false">E9</f>
        <v>32043457.03125</v>
      </c>
      <c r="G9" s="67" t="n">
        <f aca="false">F9/Assumptions!$B$4</f>
        <v>22888.18359375</v>
      </c>
      <c r="H9" s="66" t="n">
        <f aca="false">H8+F9</f>
        <v>118217285.15625</v>
      </c>
    </row>
    <row r="10" customFormat="false" ht="15" hidden="false" customHeight="true" outlineLevel="0" collapsed="false">
      <c r="A10" s="64" t="n">
        <v>7</v>
      </c>
      <c r="B10" s="1" t="s">
        <v>325</v>
      </c>
      <c r="C10" s="66" t="n">
        <f aca="false">C9*(1+IF(A10&lt;=6,Assumptions!$B$16,IF(A10&lt;=12,Assumptions!$B$17,IF(A10&lt;=24,Assumptions!$B$18,Assumptions!$B$19))))</f>
        <v>540.1611328125</v>
      </c>
      <c r="D10" s="65" t="n">
        <f aca="false">Assumptions!$B$8</f>
        <v>70000</v>
      </c>
      <c r="E10" s="66" t="n">
        <f aca="false">C10*D10</f>
        <v>37811279.296875</v>
      </c>
      <c r="F10" s="66" t="n">
        <f aca="false">E10</f>
        <v>37811279.296875</v>
      </c>
      <c r="G10" s="67" t="n">
        <f aca="false">F10/Assumptions!$B$4</f>
        <v>27008.056640625</v>
      </c>
      <c r="H10" s="66" t="n">
        <f aca="false">H9+F10</f>
        <v>156028564.453125</v>
      </c>
    </row>
    <row r="11" customFormat="false" ht="15" hidden="false" customHeight="true" outlineLevel="0" collapsed="false">
      <c r="A11" s="64" t="n">
        <v>8</v>
      </c>
      <c r="B11" s="1" t="s">
        <v>326</v>
      </c>
      <c r="C11" s="66" t="n">
        <f aca="false">C10*(1+IF(A11&lt;=6,Assumptions!$B$16,IF(A11&lt;=12,Assumptions!$B$17,IF(A11&lt;=24,Assumptions!$B$18,Assumptions!$B$19))))</f>
        <v>637.39013671875</v>
      </c>
      <c r="D11" s="65" t="n">
        <f aca="false">Assumptions!$B$8</f>
        <v>70000</v>
      </c>
      <c r="E11" s="66" t="n">
        <f aca="false">C11*D11</f>
        <v>44617309.5703125</v>
      </c>
      <c r="F11" s="66" t="n">
        <f aca="false">E11</f>
        <v>44617309.5703125</v>
      </c>
      <c r="G11" s="67" t="n">
        <f aca="false">F11/Assumptions!$B$4</f>
        <v>31869.5068359375</v>
      </c>
      <c r="H11" s="66" t="n">
        <f aca="false">H10+F11</f>
        <v>200645874.023438</v>
      </c>
    </row>
    <row r="12" customFormat="false" ht="15" hidden="false" customHeight="true" outlineLevel="0" collapsed="false">
      <c r="A12" s="64" t="n">
        <v>9</v>
      </c>
      <c r="B12" s="1" t="s">
        <v>327</v>
      </c>
      <c r="C12" s="66" t="n">
        <f aca="false">C11*(1+IF(A12&lt;=6,Assumptions!$B$16,IF(A12&lt;=12,Assumptions!$B$17,IF(A12&lt;=24,Assumptions!$B$18,Assumptions!$B$19))))</f>
        <v>752.120361328125</v>
      </c>
      <c r="D12" s="65" t="n">
        <f aca="false">Assumptions!$B$8</f>
        <v>70000</v>
      </c>
      <c r="E12" s="66" t="n">
        <f aca="false">C12*D12</f>
        <v>52648425.2929688</v>
      </c>
      <c r="F12" s="66" t="n">
        <f aca="false">E12</f>
        <v>52648425.2929688</v>
      </c>
      <c r="G12" s="67" t="n">
        <f aca="false">F12/Assumptions!$B$4</f>
        <v>37606.0180664063</v>
      </c>
      <c r="H12" s="66" t="n">
        <f aca="false">H11+F12</f>
        <v>253294299.316406</v>
      </c>
    </row>
    <row r="13" customFormat="false" ht="15" hidden="false" customHeight="true" outlineLevel="0" collapsed="false">
      <c r="A13" s="64" t="n">
        <v>10</v>
      </c>
      <c r="B13" s="1" t="s">
        <v>328</v>
      </c>
      <c r="C13" s="66" t="n">
        <f aca="false">C12*(1+IF(A13&lt;=6,Assumptions!$B$16,IF(A13&lt;=12,Assumptions!$B$17,IF(A13&lt;=24,Assumptions!$B$18,Assumptions!$B$19))))</f>
        <v>887.502026367188</v>
      </c>
      <c r="D13" s="65" t="n">
        <f aca="false">Assumptions!$B$8</f>
        <v>70000</v>
      </c>
      <c r="E13" s="66" t="n">
        <f aca="false">C13*D13</f>
        <v>62125141.8457031</v>
      </c>
      <c r="F13" s="66" t="n">
        <f aca="false">E13</f>
        <v>62125141.8457031</v>
      </c>
      <c r="G13" s="67" t="n">
        <f aca="false">F13/Assumptions!$B$4</f>
        <v>44375.1013183594</v>
      </c>
      <c r="H13" s="66" t="n">
        <f aca="false">H12+F13</f>
        <v>315419441.162109</v>
      </c>
    </row>
    <row r="14" customFormat="false" ht="15" hidden="false" customHeight="true" outlineLevel="0" collapsed="false">
      <c r="A14" s="64" t="n">
        <v>11</v>
      </c>
      <c r="B14" s="1" t="s">
        <v>329</v>
      </c>
      <c r="C14" s="66" t="n">
        <f aca="false">C13*(1+IF(A14&lt;=6,Assumptions!$B$16,IF(A14&lt;=12,Assumptions!$B$17,IF(A14&lt;=24,Assumptions!$B$18,Assumptions!$B$19))))</f>
        <v>1047.25239111328</v>
      </c>
      <c r="D14" s="65" t="n">
        <f aca="false">Assumptions!$B$8</f>
        <v>70000</v>
      </c>
      <c r="E14" s="66" t="n">
        <f aca="false">C14*D14</f>
        <v>73307667.3779297</v>
      </c>
      <c r="F14" s="66" t="n">
        <f aca="false">E14</f>
        <v>73307667.3779297</v>
      </c>
      <c r="G14" s="67" t="n">
        <f aca="false">F14/Assumptions!$B$4</f>
        <v>52362.6195556641</v>
      </c>
      <c r="H14" s="66" t="n">
        <f aca="false">H13+F14</f>
        <v>388727108.540039</v>
      </c>
    </row>
    <row r="15" customFormat="false" ht="15" hidden="false" customHeight="true" outlineLevel="0" collapsed="false">
      <c r="A15" s="64" t="n">
        <v>12</v>
      </c>
      <c r="B15" s="1" t="s">
        <v>330</v>
      </c>
      <c r="C15" s="66" t="n">
        <f aca="false">C14*(1+IF(A15&lt;=6,Assumptions!$B$16,IF(A15&lt;=12,Assumptions!$B$17,IF(A15&lt;=24,Assumptions!$B$18,Assumptions!$B$19))))</f>
        <v>1235.75782151367</v>
      </c>
      <c r="D15" s="65" t="n">
        <f aca="false">Assumptions!$B$8</f>
        <v>70000</v>
      </c>
      <c r="E15" s="66" t="n">
        <f aca="false">C15*D15</f>
        <v>86503047.505957</v>
      </c>
      <c r="F15" s="66" t="n">
        <f aca="false">E15</f>
        <v>86503047.505957</v>
      </c>
      <c r="G15" s="67" t="n">
        <f aca="false">F15/Assumptions!$B$4</f>
        <v>61787.8910756836</v>
      </c>
      <c r="H15" s="66" t="n">
        <f aca="false">H14+F15</f>
        <v>475230156.045996</v>
      </c>
    </row>
    <row r="16" customFormat="false" ht="15" hidden="false" customHeight="true" outlineLevel="0" collapsed="false">
      <c r="A16" s="64" t="n">
        <v>13</v>
      </c>
      <c r="B16" s="1" t="s">
        <v>331</v>
      </c>
      <c r="C16" s="66" t="n">
        <f aca="false">C15*(1+IF(A16&lt;=6,Assumptions!$B$16,IF(A16&lt;=12,Assumptions!$B$17,IF(A16&lt;=24,Assumptions!$B$18,Assumptions!$B$19))))</f>
        <v>1384.04876009531</v>
      </c>
      <c r="D16" s="65" t="n">
        <f aca="false">Assumptions!$B$8</f>
        <v>70000</v>
      </c>
      <c r="E16" s="66" t="n">
        <f aca="false">C16*D16</f>
        <v>96883413.2066719</v>
      </c>
      <c r="F16" s="66" t="n">
        <f aca="false">E16</f>
        <v>96883413.2066719</v>
      </c>
      <c r="G16" s="67" t="n">
        <f aca="false">F16/Assumptions!$B$4</f>
        <v>69202.4380047657</v>
      </c>
      <c r="H16" s="66" t="n">
        <f aca="false">H15+F16</f>
        <v>572113569.252668</v>
      </c>
    </row>
    <row r="17" customFormat="false" ht="15" hidden="false" customHeight="true" outlineLevel="0" collapsed="false">
      <c r="A17" s="64" t="n">
        <v>14</v>
      </c>
      <c r="B17" s="1" t="s">
        <v>332</v>
      </c>
      <c r="C17" s="66" t="n">
        <f aca="false">C16*(1+IF(A17&lt;=6,Assumptions!$B$16,IF(A17&lt;=12,Assumptions!$B$17,IF(A17&lt;=24,Assumptions!$B$18,Assumptions!$B$19))))</f>
        <v>1550.13461130675</v>
      </c>
      <c r="D17" s="65" t="n">
        <f aca="false">Assumptions!$B$8</f>
        <v>70000</v>
      </c>
      <c r="E17" s="66" t="n">
        <f aca="false">C17*D17</f>
        <v>108509422.791473</v>
      </c>
      <c r="F17" s="66" t="n">
        <f aca="false">E17</f>
        <v>108509422.791473</v>
      </c>
      <c r="G17" s="67" t="n">
        <f aca="false">F17/Assumptions!$B$4</f>
        <v>77506.7305653375</v>
      </c>
      <c r="H17" s="66" t="n">
        <f aca="false">H16+F17</f>
        <v>680622992.044141</v>
      </c>
    </row>
    <row r="18" customFormat="false" ht="15" hidden="false" customHeight="true" outlineLevel="0" collapsed="false">
      <c r="A18" s="64" t="n">
        <v>15</v>
      </c>
      <c r="B18" s="1" t="s">
        <v>333</v>
      </c>
      <c r="C18" s="66" t="n">
        <f aca="false">C17*(1+IF(A18&lt;=6,Assumptions!$B$16,IF(A18&lt;=12,Assumptions!$B$17,IF(A18&lt;=24,Assumptions!$B$18,Assumptions!$B$19))))</f>
        <v>1736.15076466356</v>
      </c>
      <c r="D18" s="65" t="n">
        <f aca="false">Assumptions!$B$8</f>
        <v>70000</v>
      </c>
      <c r="E18" s="66" t="n">
        <f aca="false">C18*D18</f>
        <v>121530553.526449</v>
      </c>
      <c r="F18" s="66" t="n">
        <f aca="false">E18</f>
        <v>121530553.526449</v>
      </c>
      <c r="G18" s="67" t="n">
        <f aca="false">F18/Assumptions!$B$4</f>
        <v>86807.538233178</v>
      </c>
      <c r="H18" s="66" t="n">
        <f aca="false">H17+F18</f>
        <v>802153545.57059</v>
      </c>
    </row>
    <row r="19" customFormat="false" ht="15" hidden="false" customHeight="true" outlineLevel="0" collapsed="false">
      <c r="A19" s="64" t="n">
        <v>16</v>
      </c>
      <c r="B19" s="1" t="s">
        <v>334</v>
      </c>
      <c r="C19" s="66" t="n">
        <f aca="false">C18*(1+IF(A19&lt;=6,Assumptions!$B$16,IF(A19&lt;=12,Assumptions!$B$17,IF(A19&lt;=24,Assumptions!$B$18,Assumptions!$B$19))))</f>
        <v>1944.48885642319</v>
      </c>
      <c r="D19" s="65" t="n">
        <f aca="false">Assumptions!$B$8</f>
        <v>70000</v>
      </c>
      <c r="E19" s="66" t="n">
        <f aca="false">C19*D19</f>
        <v>136114219.949623</v>
      </c>
      <c r="F19" s="66" t="n">
        <f aca="false">E19</f>
        <v>136114219.949623</v>
      </c>
      <c r="G19" s="67" t="n">
        <f aca="false">F19/Assumptions!$B$4</f>
        <v>97224.4428211594</v>
      </c>
      <c r="H19" s="66" t="n">
        <f aca="false">H18+F19</f>
        <v>938267765.520213</v>
      </c>
    </row>
    <row r="20" customFormat="false" ht="15" hidden="false" customHeight="true" outlineLevel="0" collapsed="false">
      <c r="A20" s="64" t="n">
        <v>17</v>
      </c>
      <c r="B20" s="1" t="s">
        <v>335</v>
      </c>
      <c r="C20" s="66" t="n">
        <f aca="false">C19*(1+IF(A20&lt;=6,Assumptions!$B$16,IF(A20&lt;=12,Assumptions!$B$17,IF(A20&lt;=24,Assumptions!$B$18,Assumptions!$B$19))))</f>
        <v>2177.82751919397</v>
      </c>
      <c r="D20" s="65" t="n">
        <f aca="false">Assumptions!$B$8</f>
        <v>70000</v>
      </c>
      <c r="E20" s="66" t="n">
        <f aca="false">C20*D20</f>
        <v>152447926.343578</v>
      </c>
      <c r="F20" s="66" t="n">
        <f aca="false">E20</f>
        <v>152447926.343578</v>
      </c>
      <c r="G20" s="67" t="n">
        <f aca="false">F20/Assumptions!$B$4</f>
        <v>108891.375959699</v>
      </c>
      <c r="H20" s="66" t="n">
        <f aca="false">H19+F20</f>
        <v>1090715691.86379</v>
      </c>
    </row>
    <row r="21" customFormat="false" ht="15" hidden="false" customHeight="true" outlineLevel="0" collapsed="false">
      <c r="A21" s="64" t="n">
        <v>18</v>
      </c>
      <c r="B21" s="1" t="s">
        <v>336</v>
      </c>
      <c r="C21" s="66" t="n">
        <f aca="false">C20*(1+IF(A21&lt;=6,Assumptions!$B$16,IF(A21&lt;=12,Assumptions!$B$17,IF(A21&lt;=24,Assumptions!$B$18,Assumptions!$B$19))))</f>
        <v>2439.16682149725</v>
      </c>
      <c r="D21" s="65" t="n">
        <f aca="false">Assumptions!$B$8</f>
        <v>70000</v>
      </c>
      <c r="E21" s="66" t="n">
        <f aca="false">C21*D21</f>
        <v>170741677.504807</v>
      </c>
      <c r="F21" s="66" t="n">
        <f aca="false">E21</f>
        <v>170741677.504807</v>
      </c>
      <c r="G21" s="67" t="n">
        <f aca="false">F21/Assumptions!$B$4</f>
        <v>121958.341074862</v>
      </c>
      <c r="H21" s="66" t="n">
        <f aca="false">H20+F21</f>
        <v>1261457369.3686</v>
      </c>
    </row>
    <row r="22" customFormat="false" ht="15" hidden="false" customHeight="true" outlineLevel="0" collapsed="false">
      <c r="A22" s="64" t="n">
        <v>19</v>
      </c>
      <c r="B22" s="1" t="s">
        <v>337</v>
      </c>
      <c r="C22" s="66" t="n">
        <f aca="false">C21*(1+IF(A22&lt;=6,Assumptions!$B$16,IF(A22&lt;=12,Assumptions!$B$17,IF(A22&lt;=24,Assumptions!$B$18,Assumptions!$B$19))))</f>
        <v>2731.86684007692</v>
      </c>
      <c r="D22" s="65" t="n">
        <f aca="false">Assumptions!$B$8</f>
        <v>70000</v>
      </c>
      <c r="E22" s="66" t="n">
        <f aca="false">C22*D22</f>
        <v>191230678.805384</v>
      </c>
      <c r="F22" s="66" t="n">
        <f aca="false">E22</f>
        <v>191230678.805384</v>
      </c>
      <c r="G22" s="67" t="n">
        <f aca="false">F22/Assumptions!$B$4</f>
        <v>136593.342003846</v>
      </c>
      <c r="H22" s="66" t="n">
        <f aca="false">H21+F22</f>
        <v>1452688048.17398</v>
      </c>
    </row>
    <row r="23" customFormat="false" ht="15" hidden="false" customHeight="true" outlineLevel="0" collapsed="false">
      <c r="A23" s="64" t="n">
        <v>20</v>
      </c>
      <c r="B23" s="1" t="s">
        <v>338</v>
      </c>
      <c r="C23" s="66" t="n">
        <f aca="false">C22*(1+IF(A23&lt;=6,Assumptions!$B$16,IF(A23&lt;=12,Assumptions!$B$17,IF(A23&lt;=24,Assumptions!$B$18,Assumptions!$B$19))))</f>
        <v>3059.69086088615</v>
      </c>
      <c r="D23" s="65" t="n">
        <f aca="false">Assumptions!$B$8</f>
        <v>70000</v>
      </c>
      <c r="E23" s="66" t="n">
        <f aca="false">C23*D23</f>
        <v>214178360.26203</v>
      </c>
      <c r="F23" s="66" t="n">
        <f aca="false">E23</f>
        <v>214178360.26203</v>
      </c>
      <c r="G23" s="67" t="n">
        <f aca="false">F23/Assumptions!$B$4</f>
        <v>152984.543044307</v>
      </c>
      <c r="H23" s="66" t="n">
        <f aca="false">H22+F23</f>
        <v>1666866408.43601</v>
      </c>
    </row>
    <row r="24" customFormat="false" ht="15" hidden="false" customHeight="true" outlineLevel="0" collapsed="false">
      <c r="A24" s="64" t="n">
        <v>21</v>
      </c>
      <c r="B24" s="1" t="s">
        <v>339</v>
      </c>
      <c r="C24" s="66" t="n">
        <f aca="false">C23*(1+IF(A24&lt;=6,Assumptions!$B$16,IF(A24&lt;=12,Assumptions!$B$17,IF(A24&lt;=24,Assumptions!$B$18,Assumptions!$B$19))))</f>
        <v>3426.85376419249</v>
      </c>
      <c r="D24" s="65" t="n">
        <f aca="false">Assumptions!$B$8</f>
        <v>70000</v>
      </c>
      <c r="E24" s="66" t="n">
        <f aca="false">C24*D24</f>
        <v>239879763.493474</v>
      </c>
      <c r="F24" s="66" t="n">
        <f aca="false">E24</f>
        <v>239879763.493474</v>
      </c>
      <c r="G24" s="67" t="n">
        <f aca="false">F24/Assumptions!$B$4</f>
        <v>171342.688209624</v>
      </c>
      <c r="H24" s="66" t="n">
        <f aca="false">H23+F24</f>
        <v>1906746171.92949</v>
      </c>
    </row>
    <row r="25" customFormat="false" ht="15" hidden="false" customHeight="true" outlineLevel="0" collapsed="false">
      <c r="A25" s="64" t="n">
        <v>22</v>
      </c>
      <c r="B25" s="1" t="s">
        <v>340</v>
      </c>
      <c r="C25" s="66" t="n">
        <f aca="false">C24*(1+IF(A25&lt;=6,Assumptions!$B$16,IF(A25&lt;=12,Assumptions!$B$17,IF(A25&lt;=24,Assumptions!$B$18,Assumptions!$B$19))))</f>
        <v>3838.07621589558</v>
      </c>
      <c r="D25" s="65" t="n">
        <f aca="false">Assumptions!$B$8</f>
        <v>70000</v>
      </c>
      <c r="E25" s="66" t="n">
        <f aca="false">C25*D25</f>
        <v>268665335.112691</v>
      </c>
      <c r="F25" s="66" t="n">
        <f aca="false">E25</f>
        <v>268665335.112691</v>
      </c>
      <c r="G25" s="67" t="n">
        <f aca="false">F25/Assumptions!$B$4</f>
        <v>191903.810794779</v>
      </c>
      <c r="H25" s="66" t="n">
        <f aca="false">H24+F25</f>
        <v>2175411507.04218</v>
      </c>
    </row>
    <row r="26" customFormat="false" ht="15" hidden="false" customHeight="true" outlineLevel="0" collapsed="false">
      <c r="A26" s="64" t="n">
        <v>23</v>
      </c>
      <c r="B26" s="1" t="s">
        <v>341</v>
      </c>
      <c r="C26" s="66" t="n">
        <f aca="false">C25*(1+IF(A26&lt;=6,Assumptions!$B$16,IF(A26&lt;=12,Assumptions!$B$17,IF(A26&lt;=24,Assumptions!$B$18,Assumptions!$B$19))))</f>
        <v>4298.64536180306</v>
      </c>
      <c r="D26" s="65" t="n">
        <f aca="false">Assumptions!$B$8</f>
        <v>70000</v>
      </c>
      <c r="E26" s="66" t="n">
        <f aca="false">C26*D26</f>
        <v>300905175.326214</v>
      </c>
      <c r="F26" s="66" t="n">
        <f aca="false">E26</f>
        <v>300905175.326214</v>
      </c>
      <c r="G26" s="67" t="n">
        <f aca="false">F26/Assumptions!$B$4</f>
        <v>214932.268090153</v>
      </c>
      <c r="H26" s="66" t="n">
        <f aca="false">H25+F26</f>
        <v>2476316682.36839</v>
      </c>
    </row>
    <row r="27" customFormat="false" ht="15" hidden="false" customHeight="true" outlineLevel="0" collapsed="false">
      <c r="A27" s="64" t="n">
        <v>24</v>
      </c>
      <c r="B27" s="1" t="s">
        <v>342</v>
      </c>
      <c r="C27" s="66" t="n">
        <f aca="false">C26*(1+IF(A27&lt;=6,Assumptions!$B$16,IF(A27&lt;=12,Assumptions!$B$17,IF(A27&lt;=24,Assumptions!$B$18,Assumptions!$B$19))))</f>
        <v>4814.48280521942</v>
      </c>
      <c r="D27" s="65" t="n">
        <f aca="false">Assumptions!$B$8</f>
        <v>70000</v>
      </c>
      <c r="E27" s="66" t="n">
        <f aca="false">C27*D27</f>
        <v>337013796.36536</v>
      </c>
      <c r="F27" s="66" t="n">
        <f aca="false">E27</f>
        <v>337013796.36536</v>
      </c>
      <c r="G27" s="67" t="n">
        <f aca="false">F27/Assumptions!$B$4</f>
        <v>240724.140260971</v>
      </c>
      <c r="H27" s="66" t="n">
        <f aca="false">H26+F27</f>
        <v>2813330478.73375</v>
      </c>
    </row>
    <row r="28" customFormat="false" ht="15" hidden="false" customHeight="true" outlineLevel="0" collapsed="false">
      <c r="A28" s="64" t="n">
        <v>25</v>
      </c>
      <c r="B28" s="1" t="s">
        <v>343</v>
      </c>
      <c r="C28" s="66" t="n">
        <f aca="false">C27*(1+IF(A28&lt;=6,Assumptions!$B$16,IF(A28&lt;=12,Assumptions!$B$17,IF(A28&lt;=24,Assumptions!$B$18,Assumptions!$B$19))))</f>
        <v>5103.35177353259</v>
      </c>
      <c r="D28" s="65" t="n">
        <f aca="false">Assumptions!$B$8</f>
        <v>70000</v>
      </c>
      <c r="E28" s="66" t="n">
        <f aca="false">C28*D28</f>
        <v>357234624.147281</v>
      </c>
      <c r="F28" s="66" t="n">
        <f aca="false">E28</f>
        <v>357234624.147281</v>
      </c>
      <c r="G28" s="67" t="n">
        <f aca="false">F28/Assumptions!$B$4</f>
        <v>255167.588676629</v>
      </c>
      <c r="H28" s="66" t="n">
        <f aca="false">H27+F28</f>
        <v>3170565102.88103</v>
      </c>
    </row>
    <row r="29" customFormat="false" ht="15" hidden="false" customHeight="true" outlineLevel="0" collapsed="false">
      <c r="A29" s="64" t="n">
        <v>26</v>
      </c>
      <c r="B29" s="1" t="s">
        <v>344</v>
      </c>
      <c r="C29" s="66" t="n">
        <f aca="false">C28*(1+IF(A29&lt;=6,Assumptions!$B$16,IF(A29&lt;=12,Assumptions!$B$17,IF(A29&lt;=24,Assumptions!$B$18,Assumptions!$B$19))))</f>
        <v>5409.55287994454</v>
      </c>
      <c r="D29" s="65" t="n">
        <f aca="false">Assumptions!$B$8</f>
        <v>70000</v>
      </c>
      <c r="E29" s="66" t="n">
        <f aca="false">C29*D29</f>
        <v>378668701.596118</v>
      </c>
      <c r="F29" s="66" t="n">
        <f aca="false">E29</f>
        <v>378668701.596118</v>
      </c>
      <c r="G29" s="67" t="n">
        <f aca="false">F29/Assumptions!$B$4</f>
        <v>270477.643997227</v>
      </c>
      <c r="H29" s="66" t="n">
        <f aca="false">H28+F29</f>
        <v>3549233804.47715</v>
      </c>
    </row>
    <row r="30" customFormat="false" ht="15" hidden="false" customHeight="true" outlineLevel="0" collapsed="false">
      <c r="A30" s="64" t="n">
        <v>27</v>
      </c>
      <c r="B30" s="1" t="s">
        <v>345</v>
      </c>
      <c r="C30" s="66" t="n">
        <f aca="false">C29*(1+IF(A30&lt;=6,Assumptions!$B$16,IF(A30&lt;=12,Assumptions!$B$17,IF(A30&lt;=24,Assumptions!$B$18,Assumptions!$B$19))))</f>
        <v>5734.12605274122</v>
      </c>
      <c r="D30" s="65" t="n">
        <f aca="false">Assumptions!$B$8</f>
        <v>70000</v>
      </c>
      <c r="E30" s="66" t="n">
        <f aca="false">C30*D30</f>
        <v>401388823.691885</v>
      </c>
      <c r="F30" s="66" t="n">
        <f aca="false">E30</f>
        <v>401388823.691885</v>
      </c>
      <c r="G30" s="67" t="n">
        <f aca="false">F30/Assumptions!$B$4</f>
        <v>286706.302637061</v>
      </c>
      <c r="H30" s="66" t="n">
        <f aca="false">H29+F30</f>
        <v>3950622628.16903</v>
      </c>
    </row>
    <row r="31" customFormat="false" ht="15" hidden="false" customHeight="true" outlineLevel="0" collapsed="false">
      <c r="A31" s="64" t="n">
        <v>28</v>
      </c>
      <c r="B31" s="1" t="s">
        <v>346</v>
      </c>
      <c r="C31" s="66" t="n">
        <f aca="false">C30*(1+IF(A31&lt;=6,Assumptions!$B$16,IF(A31&lt;=12,Assumptions!$B$17,IF(A31&lt;=24,Assumptions!$B$18,Assumptions!$B$19))))</f>
        <v>6078.17361590569</v>
      </c>
      <c r="D31" s="65" t="n">
        <f aca="false">Assumptions!$B$8</f>
        <v>70000</v>
      </c>
      <c r="E31" s="66" t="n">
        <f aca="false">C31*D31</f>
        <v>425472153.113398</v>
      </c>
      <c r="F31" s="66" t="n">
        <f aca="false">E31</f>
        <v>425472153.113398</v>
      </c>
      <c r="G31" s="67" t="n">
        <f aca="false">F31/Assumptions!$B$4</f>
        <v>303908.680795284</v>
      </c>
      <c r="H31" s="66" t="n">
        <f aca="false">H30+F31</f>
        <v>4376094781.28243</v>
      </c>
    </row>
    <row r="32" customFormat="false" ht="15" hidden="false" customHeight="true" outlineLevel="0" collapsed="false">
      <c r="A32" s="64" t="n">
        <v>29</v>
      </c>
      <c r="B32" s="1" t="s">
        <v>347</v>
      </c>
      <c r="C32" s="66" t="n">
        <f aca="false">C31*(1+IF(A32&lt;=6,Assumptions!$B$16,IF(A32&lt;=12,Assumptions!$B$17,IF(A32&lt;=24,Assumptions!$B$18,Assumptions!$B$19))))</f>
        <v>6442.86403286003</v>
      </c>
      <c r="D32" s="65" t="n">
        <f aca="false">Assumptions!$B$8</f>
        <v>70000</v>
      </c>
      <c r="E32" s="66" t="n">
        <f aca="false">C32*D32</f>
        <v>451000482.300202</v>
      </c>
      <c r="F32" s="66" t="n">
        <f aca="false">E32</f>
        <v>451000482.300202</v>
      </c>
      <c r="G32" s="67" t="n">
        <f aca="false">F32/Assumptions!$B$4</f>
        <v>322143.201643001</v>
      </c>
      <c r="H32" s="66" t="n">
        <f aca="false">H31+F32</f>
        <v>4827095263.58264</v>
      </c>
    </row>
    <row r="33" customFormat="false" ht="15" hidden="false" customHeight="true" outlineLevel="0" collapsed="false">
      <c r="A33" s="64" t="n">
        <v>30</v>
      </c>
      <c r="B33" s="1" t="s">
        <v>348</v>
      </c>
      <c r="C33" s="66" t="n">
        <f aca="false">C32*(1+IF(A33&lt;=6,Assumptions!$B$16,IF(A33&lt;=12,Assumptions!$B$17,IF(A33&lt;=24,Assumptions!$B$18,Assumptions!$B$19))))</f>
        <v>6829.43587483163</v>
      </c>
      <c r="D33" s="65" t="n">
        <f aca="false">Assumptions!$B$8</f>
        <v>70000</v>
      </c>
      <c r="E33" s="66" t="n">
        <f aca="false">C33*D33</f>
        <v>478060511.238214</v>
      </c>
      <c r="F33" s="66" t="n">
        <f aca="false">E33</f>
        <v>478060511.238214</v>
      </c>
      <c r="G33" s="67" t="n">
        <f aca="false">F33/Assumptions!$B$4</f>
        <v>341471.793741582</v>
      </c>
      <c r="H33" s="66" t="n">
        <f aca="false">H32+F33</f>
        <v>5305155774.82085</v>
      </c>
    </row>
    <row r="34" customFormat="false" ht="15" hidden="false" customHeight="true" outlineLevel="0" collapsed="false">
      <c r="A34" s="64" t="n">
        <v>31</v>
      </c>
      <c r="B34" s="1" t="s">
        <v>349</v>
      </c>
      <c r="C34" s="66" t="n">
        <f aca="false">C33*(1+IF(A34&lt;=6,Assumptions!$B$16,IF(A34&lt;=12,Assumptions!$B$17,IF(A34&lt;=24,Assumptions!$B$18,Assumptions!$B$19))))</f>
        <v>7239.20202732153</v>
      </c>
      <c r="D34" s="65" t="n">
        <f aca="false">Assumptions!$B$8</f>
        <v>70000</v>
      </c>
      <c r="E34" s="66" t="n">
        <f aca="false">C34*D34</f>
        <v>506744141.912507</v>
      </c>
      <c r="F34" s="66" t="n">
        <f aca="false">E34</f>
        <v>506744141.912507</v>
      </c>
      <c r="G34" s="67" t="n">
        <f aca="false">F34/Assumptions!$B$4</f>
        <v>361960.101366077</v>
      </c>
      <c r="H34" s="66" t="n">
        <f aca="false">H33+F34</f>
        <v>5811899916.73336</v>
      </c>
    </row>
    <row r="35" customFormat="false" ht="15" hidden="false" customHeight="true" outlineLevel="0" collapsed="false">
      <c r="A35" s="64" t="n">
        <v>32</v>
      </c>
      <c r="B35" s="1" t="s">
        <v>350</v>
      </c>
      <c r="C35" s="66" t="n">
        <f aca="false">C34*(1+IF(A35&lt;=6,Assumptions!$B$16,IF(A35&lt;=12,Assumptions!$B$17,IF(A35&lt;=24,Assumptions!$B$18,Assumptions!$B$19))))</f>
        <v>7673.55414896082</v>
      </c>
      <c r="D35" s="65" t="n">
        <f aca="false">Assumptions!$B$8</f>
        <v>70000</v>
      </c>
      <c r="E35" s="66" t="n">
        <f aca="false">C35*D35</f>
        <v>537148790.427258</v>
      </c>
      <c r="F35" s="66" t="n">
        <f aca="false">E35</f>
        <v>537148790.427258</v>
      </c>
      <c r="G35" s="67" t="n">
        <f aca="false">F35/Assumptions!$B$4</f>
        <v>383677.707448041</v>
      </c>
      <c r="H35" s="66" t="n">
        <f aca="false">H34+F35</f>
        <v>6349048707.16061</v>
      </c>
    </row>
    <row r="36" customFormat="false" ht="15" hidden="false" customHeight="true" outlineLevel="0" collapsed="false">
      <c r="A36" s="64" t="n">
        <v>33</v>
      </c>
      <c r="B36" s="1" t="s">
        <v>351</v>
      </c>
      <c r="C36" s="66" t="n">
        <f aca="false">C35*(1+IF(A36&lt;=6,Assumptions!$B$16,IF(A36&lt;=12,Assumptions!$B$17,IF(A36&lt;=24,Assumptions!$B$18,Assumptions!$B$19))))</f>
        <v>8133.96739789847</v>
      </c>
      <c r="D36" s="65" t="n">
        <f aca="false">Assumptions!$B$8</f>
        <v>70000</v>
      </c>
      <c r="E36" s="66" t="n">
        <f aca="false">C36*D36</f>
        <v>569377717.852893</v>
      </c>
      <c r="F36" s="66" t="n">
        <f aca="false">E36</f>
        <v>569377717.852893</v>
      </c>
      <c r="G36" s="67" t="n">
        <f aca="false">F36/Assumptions!$B$4</f>
        <v>406698.369894924</v>
      </c>
      <c r="H36" s="66" t="n">
        <f aca="false">H35+F36</f>
        <v>6918426425.01351</v>
      </c>
    </row>
    <row r="37" customFormat="false" ht="15" hidden="false" customHeight="true" outlineLevel="0" collapsed="false">
      <c r="A37" s="64" t="n">
        <v>34</v>
      </c>
      <c r="B37" s="1" t="s">
        <v>352</v>
      </c>
      <c r="C37" s="66" t="n">
        <f aca="false">C36*(1+IF(A37&lt;=6,Assumptions!$B$16,IF(A37&lt;=12,Assumptions!$B$17,IF(A37&lt;=24,Assumptions!$B$18,Assumptions!$B$19))))</f>
        <v>8622.00544177238</v>
      </c>
      <c r="D37" s="65" t="n">
        <f aca="false">Assumptions!$B$8</f>
        <v>70000</v>
      </c>
      <c r="E37" s="66" t="n">
        <f aca="false">C37*D37</f>
        <v>603540380.924067</v>
      </c>
      <c r="F37" s="66" t="n">
        <f aca="false">E37</f>
        <v>603540380.924067</v>
      </c>
      <c r="G37" s="67" t="n">
        <f aca="false">F37/Assumptions!$B$4</f>
        <v>431100.272088619</v>
      </c>
      <c r="H37" s="66" t="n">
        <f aca="false">H36+F37</f>
        <v>7521966805.93757</v>
      </c>
    </row>
    <row r="38" customFormat="false" ht="15" hidden="false" customHeight="true" outlineLevel="0" collapsed="false">
      <c r="A38" s="64" t="n">
        <v>35</v>
      </c>
      <c r="B38" s="1" t="s">
        <v>353</v>
      </c>
      <c r="C38" s="66" t="n">
        <f aca="false">C37*(1+IF(A38&lt;=6,Assumptions!$B$16,IF(A38&lt;=12,Assumptions!$B$17,IF(A38&lt;=24,Assumptions!$B$18,Assumptions!$B$19))))</f>
        <v>9139.32576827872</v>
      </c>
      <c r="D38" s="65" t="n">
        <f aca="false">Assumptions!$B$8</f>
        <v>70000</v>
      </c>
      <c r="E38" s="66" t="n">
        <f aca="false">C38*D38</f>
        <v>639752803.779511</v>
      </c>
      <c r="F38" s="66" t="n">
        <f aca="false">E38</f>
        <v>639752803.779511</v>
      </c>
      <c r="G38" s="67" t="n">
        <f aca="false">F38/Assumptions!$B$4</f>
        <v>456966.288413936</v>
      </c>
      <c r="H38" s="66" t="n">
        <f aca="false">H37+F38</f>
        <v>8161719609.71708</v>
      </c>
    </row>
    <row r="39" customFormat="false" ht="15" hidden="false" customHeight="true" outlineLevel="0" collapsed="false">
      <c r="A39" s="64" t="n">
        <v>36</v>
      </c>
      <c r="B39" s="1" t="s">
        <v>354</v>
      </c>
      <c r="C39" s="66" t="n">
        <f aca="false">C38*(1+IF(A39&lt;=6,Assumptions!$B$16,IF(A39&lt;=12,Assumptions!$B$17,IF(A39&lt;=24,Assumptions!$B$18,Assumptions!$B$19))))</f>
        <v>9687.68531437545</v>
      </c>
      <c r="D39" s="65" t="n">
        <f aca="false">Assumptions!$B$8</f>
        <v>70000</v>
      </c>
      <c r="E39" s="66" t="n">
        <f aca="false">C39*D39</f>
        <v>678137972.006281</v>
      </c>
      <c r="F39" s="66" t="n">
        <f aca="false">E39</f>
        <v>678137972.006281</v>
      </c>
      <c r="G39" s="67" t="n">
        <f aca="false">F39/Assumptions!$B$4</f>
        <v>484384.265718772</v>
      </c>
      <c r="H39" s="66" t="n">
        <f aca="false">H38+F39</f>
        <v>8839857581.72337</v>
      </c>
    </row>
    <row r="40" customFormat="false" ht="15" hidden="false" customHeight="true" outlineLevel="0" collapsed="false">
      <c r="A40" s="8" t="s">
        <v>355</v>
      </c>
      <c r="B40" s="5"/>
      <c r="C40" s="5"/>
      <c r="D40" s="5"/>
      <c r="E40" s="68" t="n">
        <f aca="false">SUM(E4:E15)</f>
        <v>475230156.045996</v>
      </c>
      <c r="F40" s="68" t="n">
        <f aca="false">SUM(F4:F15)</f>
        <v>475230156.045996</v>
      </c>
      <c r="G40" s="69" t="n">
        <f aca="false">F40/Assumptions!$B$4</f>
        <v>339450.111461426</v>
      </c>
      <c r="H40" s="5"/>
    </row>
    <row r="41" customFormat="false" ht="15" hidden="false" customHeight="true" outlineLevel="0" collapsed="false">
      <c r="A41" s="8" t="s">
        <v>356</v>
      </c>
      <c r="B41" s="5"/>
      <c r="C41" s="5"/>
      <c r="D41" s="5"/>
      <c r="E41" s="68" t="n">
        <f aca="false">SUM(E16:E27)</f>
        <v>2338100322.68775</v>
      </c>
      <c r="F41" s="68" t="n">
        <f aca="false">SUM(F16:F27)</f>
        <v>2338100322.68775</v>
      </c>
      <c r="G41" s="69" t="n">
        <f aca="false">F41/Assumptions!$B$4</f>
        <v>1670071.65906268</v>
      </c>
      <c r="H41" s="5"/>
    </row>
    <row r="42" customFormat="false" ht="15" hidden="false" customHeight="true" outlineLevel="0" collapsed="false">
      <c r="A42" s="8" t="s">
        <v>357</v>
      </c>
      <c r="B42" s="5"/>
      <c r="C42" s="5"/>
      <c r="D42" s="5"/>
      <c r="E42" s="68" t="n">
        <f aca="false">SUM(E28:E39)</f>
        <v>6026527102.98961</v>
      </c>
      <c r="F42" s="68" t="n">
        <f aca="false">SUM(F28:F39)</f>
        <v>6026527102.98961</v>
      </c>
      <c r="G42" s="69" t="n">
        <f aca="false">F42/Assumptions!$B$4</f>
        <v>4304662.21642115</v>
      </c>
      <c r="H42" s="5"/>
    </row>
    <row r="43" customFormat="false" ht="15" hidden="false" customHeight="true" outlineLevel="0" collapsed="false">
      <c r="A43" s="70" t="s">
        <v>358</v>
      </c>
      <c r="B43" s="70"/>
      <c r="C43" s="70"/>
      <c r="D43" s="70"/>
      <c r="E43" s="71" t="n">
        <f aca="false">E40+E41+E42</f>
        <v>8839857581.72337</v>
      </c>
      <c r="F43" s="71" t="n">
        <f aca="false">F40+F41+F42</f>
        <v>8839857581.72337</v>
      </c>
      <c r="G43" s="72" t="n">
        <f aca="false">F43/Assumptions!$B$4</f>
        <v>6314183.98694526</v>
      </c>
      <c r="H43" s="70"/>
    </row>
    <row r="44" customFormat="false" ht="15" hidden="false" customHeight="true" outlineLevel="0" collapsed="false">
      <c r="A44" s="73" t="s">
        <v>359</v>
      </c>
    </row>
  </sheetData>
  <mergeCells count="1">
    <mergeCell ref="A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66796875" defaultRowHeight="15" customHeight="false" zeroHeight="false" outlineLevelRow="0" outlineLevelCol="0"/>
  <cols>
    <col collapsed="false" customWidth="true" hidden="false" outlineLevel="0" max="1" min="1" style="1" width="45"/>
    <col collapsed="false" customWidth="true" hidden="false" outlineLevel="0" max="40" min="2" style="1" width="12"/>
  </cols>
  <sheetData>
    <row r="1" customFormat="false" ht="109.5" hidden="false" customHeight="true" outlineLevel="0" collapsed="false">
      <c r="A1" s="21" t="s">
        <v>360</v>
      </c>
      <c r="B1" s="21"/>
      <c r="C1" s="21"/>
      <c r="D1" s="21"/>
      <c r="E1" s="21"/>
      <c r="F1" s="21"/>
      <c r="G1" s="21"/>
      <c r="H1" s="21"/>
      <c r="I1" s="21"/>
      <c r="J1" s="21"/>
    </row>
    <row r="3" customFormat="false" ht="15" hidden="false" customHeight="true" outlineLevel="0" collapsed="false">
      <c r="A3" s="56" t="s">
        <v>290</v>
      </c>
      <c r="B3" s="56" t="s">
        <v>361</v>
      </c>
      <c r="C3" s="56" t="s">
        <v>362</v>
      </c>
      <c r="D3" s="56" t="s">
        <v>363</v>
      </c>
      <c r="E3" s="56" t="s">
        <v>364</v>
      </c>
      <c r="F3" s="56" t="s">
        <v>365</v>
      </c>
      <c r="G3" s="56" t="s">
        <v>366</v>
      </c>
      <c r="H3" s="56" t="s">
        <v>367</v>
      </c>
      <c r="I3" s="56" t="s">
        <v>368</v>
      </c>
      <c r="J3" s="56" t="s">
        <v>369</v>
      </c>
      <c r="K3" s="56" t="s">
        <v>370</v>
      </c>
      <c r="L3" s="56" t="s">
        <v>371</v>
      </c>
      <c r="M3" s="56" t="s">
        <v>372</v>
      </c>
      <c r="N3" s="56" t="s">
        <v>373</v>
      </c>
      <c r="O3" s="56" t="s">
        <v>374</v>
      </c>
      <c r="P3" s="56" t="s">
        <v>375</v>
      </c>
      <c r="Q3" s="56" t="s">
        <v>376</v>
      </c>
      <c r="R3" s="56" t="s">
        <v>377</v>
      </c>
      <c r="S3" s="56" t="s">
        <v>378</v>
      </c>
      <c r="T3" s="56" t="s">
        <v>379</v>
      </c>
      <c r="U3" s="56" t="s">
        <v>380</v>
      </c>
      <c r="V3" s="56" t="s">
        <v>381</v>
      </c>
      <c r="W3" s="56" t="s">
        <v>382</v>
      </c>
      <c r="X3" s="56" t="s">
        <v>383</v>
      </c>
      <c r="Y3" s="56" t="s">
        <v>384</v>
      </c>
      <c r="Z3" s="56" t="s">
        <v>385</v>
      </c>
      <c r="AA3" s="56" t="s">
        <v>386</v>
      </c>
      <c r="AB3" s="56" t="s">
        <v>387</v>
      </c>
      <c r="AC3" s="56" t="s">
        <v>388</v>
      </c>
      <c r="AD3" s="56" t="s">
        <v>389</v>
      </c>
      <c r="AE3" s="56" t="s">
        <v>390</v>
      </c>
      <c r="AF3" s="56" t="s">
        <v>391</v>
      </c>
      <c r="AG3" s="56" t="s">
        <v>392</v>
      </c>
      <c r="AH3" s="56" t="s">
        <v>393</v>
      </c>
      <c r="AI3" s="56" t="s">
        <v>394</v>
      </c>
      <c r="AJ3" s="56" t="s">
        <v>395</v>
      </c>
      <c r="AK3" s="56" t="s">
        <v>396</v>
      </c>
      <c r="AL3" s="56" t="s">
        <v>397</v>
      </c>
      <c r="AM3" s="56" t="s">
        <v>398</v>
      </c>
      <c r="AN3" s="56" t="s">
        <v>399</v>
      </c>
    </row>
    <row r="4" customFormat="false" ht="15" hidden="false" customHeight="true" outlineLevel="0" collapsed="false">
      <c r="A4" s="58" t="s">
        <v>400</v>
      </c>
      <c r="B4" s="65" t="n">
        <f aca="false">Revenue!F4</f>
        <v>10500000</v>
      </c>
      <c r="C4" s="65" t="n">
        <f aca="false">Revenue!F5</f>
        <v>13125000</v>
      </c>
      <c r="D4" s="65" t="n">
        <f aca="false">Revenue!F6</f>
        <v>16406250</v>
      </c>
      <c r="E4" s="65" t="n">
        <f aca="false">Revenue!F7</f>
        <v>20507812.5</v>
      </c>
      <c r="F4" s="65" t="n">
        <f aca="false">Revenue!F8</f>
        <v>25634765.625</v>
      </c>
      <c r="G4" s="65" t="n">
        <f aca="false">Revenue!F9</f>
        <v>32043457.03125</v>
      </c>
      <c r="H4" s="65" t="n">
        <f aca="false">Revenue!F10</f>
        <v>37811279.296875</v>
      </c>
      <c r="I4" s="65" t="n">
        <f aca="false">Revenue!F11</f>
        <v>44617309.5703125</v>
      </c>
      <c r="J4" s="65" t="n">
        <f aca="false">Revenue!F12</f>
        <v>52648425.2929688</v>
      </c>
      <c r="K4" s="65" t="n">
        <f aca="false">Revenue!F13</f>
        <v>62125141.8457031</v>
      </c>
      <c r="L4" s="65" t="n">
        <f aca="false">Revenue!F14</f>
        <v>73307667.3779297</v>
      </c>
      <c r="M4" s="65" t="n">
        <f aca="false">Revenue!F15</f>
        <v>86503047.505957</v>
      </c>
      <c r="N4" s="65" t="n">
        <f aca="false">Revenue!F16</f>
        <v>96883413.2066719</v>
      </c>
      <c r="O4" s="65" t="n">
        <f aca="false">Revenue!F17</f>
        <v>108509422.791473</v>
      </c>
      <c r="P4" s="65" t="n">
        <f aca="false">Revenue!F18</f>
        <v>121530553.526449</v>
      </c>
      <c r="Q4" s="65" t="n">
        <f aca="false">Revenue!F19</f>
        <v>136114219.949623</v>
      </c>
      <c r="R4" s="65" t="n">
        <f aca="false">Revenue!F20</f>
        <v>152447926.343578</v>
      </c>
      <c r="S4" s="65" t="n">
        <f aca="false">Revenue!F21</f>
        <v>170741677.504807</v>
      </c>
      <c r="T4" s="65" t="n">
        <f aca="false">Revenue!F22</f>
        <v>191230678.805384</v>
      </c>
      <c r="U4" s="65" t="n">
        <f aca="false">Revenue!F23</f>
        <v>214178360.26203</v>
      </c>
      <c r="V4" s="65" t="n">
        <f aca="false">Revenue!F24</f>
        <v>239879763.493474</v>
      </c>
      <c r="W4" s="65" t="n">
        <f aca="false">Revenue!F25</f>
        <v>268665335.112691</v>
      </c>
      <c r="X4" s="65" t="n">
        <f aca="false">Revenue!F26</f>
        <v>300905175.326214</v>
      </c>
      <c r="Y4" s="65" t="n">
        <f aca="false">Revenue!F27</f>
        <v>337013796.36536</v>
      </c>
      <c r="Z4" s="65" t="n">
        <f aca="false">Revenue!F28</f>
        <v>357234624.147281</v>
      </c>
      <c r="AA4" s="65" t="n">
        <f aca="false">Revenue!F29</f>
        <v>378668701.596118</v>
      </c>
      <c r="AB4" s="65" t="n">
        <f aca="false">Revenue!F30</f>
        <v>401388823.691885</v>
      </c>
      <c r="AC4" s="65" t="n">
        <f aca="false">Revenue!F31</f>
        <v>425472153.113398</v>
      </c>
      <c r="AD4" s="65" t="n">
        <f aca="false">Revenue!F32</f>
        <v>451000482.300202</v>
      </c>
      <c r="AE4" s="65" t="n">
        <f aca="false">Revenue!F33</f>
        <v>478060511.238214</v>
      </c>
      <c r="AF4" s="65" t="n">
        <f aca="false">Revenue!F34</f>
        <v>506744141.912507</v>
      </c>
      <c r="AG4" s="65" t="n">
        <f aca="false">Revenue!F35</f>
        <v>537148790.427258</v>
      </c>
      <c r="AH4" s="65" t="n">
        <f aca="false">Revenue!F36</f>
        <v>569377717.852893</v>
      </c>
      <c r="AI4" s="65" t="n">
        <f aca="false">Revenue!F37</f>
        <v>603540380.924067</v>
      </c>
      <c r="AJ4" s="65" t="n">
        <f aca="false">Revenue!F38</f>
        <v>639752803.779511</v>
      </c>
      <c r="AK4" s="65" t="n">
        <f aca="false">Revenue!F39</f>
        <v>678137972.006281</v>
      </c>
      <c r="AL4" s="74" t="n">
        <f aca="false">SUM(B4:M4)</f>
        <v>475230156.045996</v>
      </c>
      <c r="AM4" s="74" t="n">
        <f aca="false">SUM(N4:Y4)</f>
        <v>2338100322.68775</v>
      </c>
      <c r="AN4" s="74" t="n">
        <f aca="false">SUM(Z4:AK4)</f>
        <v>6026527102.98961</v>
      </c>
    </row>
    <row r="5" customFormat="false" ht="16.5" hidden="false" customHeight="true" outlineLevel="0" collapsed="false">
      <c r="A5" s="1" t="s">
        <v>401</v>
      </c>
      <c r="B5" s="66" t="n">
        <f aca="false">B4*Assumptions!$B$10</f>
        <v>7350000</v>
      </c>
      <c r="C5" s="66" t="n">
        <f aca="false">C4*Assumptions!$B$10</f>
        <v>9187500</v>
      </c>
      <c r="D5" s="66" t="n">
        <f aca="false">D4*Assumptions!$B$10</f>
        <v>11484375</v>
      </c>
      <c r="E5" s="66" t="n">
        <f aca="false">E4*Assumptions!$B$10</f>
        <v>14355468.75</v>
      </c>
      <c r="F5" s="66" t="n">
        <f aca="false">F4*Assumptions!$B$10</f>
        <v>17944335.9375</v>
      </c>
      <c r="G5" s="66" t="n">
        <f aca="false">G4*Assumptions!$B$10</f>
        <v>22430419.921875</v>
      </c>
      <c r="H5" s="66" t="n">
        <f aca="false">H4*Assumptions!$B$10</f>
        <v>26467895.5078125</v>
      </c>
      <c r="I5" s="66" t="n">
        <f aca="false">I4*Assumptions!$B$10</f>
        <v>31232116.6992187</v>
      </c>
      <c r="J5" s="66" t="n">
        <f aca="false">J4*Assumptions!$B$10</f>
        <v>36853897.7050781</v>
      </c>
      <c r="K5" s="66" t="n">
        <f aca="false">K4*Assumptions!$B$10</f>
        <v>43487599.2919922</v>
      </c>
      <c r="L5" s="66" t="n">
        <f aca="false">L4*Assumptions!$B$10</f>
        <v>51315367.1645508</v>
      </c>
      <c r="M5" s="66" t="n">
        <f aca="false">M4*Assumptions!$B$10</f>
        <v>60552133.2541699</v>
      </c>
      <c r="N5" s="66" t="n">
        <f aca="false">N4*Assumptions!$B$10</f>
        <v>67818389.2446703</v>
      </c>
      <c r="O5" s="66" t="n">
        <f aca="false">O4*Assumptions!$B$10</f>
        <v>75956595.9540308</v>
      </c>
      <c r="P5" s="66" t="n">
        <f aca="false">P4*Assumptions!$B$10</f>
        <v>85071387.4685145</v>
      </c>
      <c r="Q5" s="66" t="n">
        <f aca="false">Q4*Assumptions!$B$10</f>
        <v>95279953.9647362</v>
      </c>
      <c r="R5" s="66" t="n">
        <f aca="false">R4*Assumptions!$B$10</f>
        <v>106713548.440505</v>
      </c>
      <c r="S5" s="66" t="n">
        <f aca="false">S4*Assumptions!$B$10</f>
        <v>119519174.253365</v>
      </c>
      <c r="T5" s="66" t="n">
        <f aca="false">T4*Assumptions!$B$10</f>
        <v>133861475.163769</v>
      </c>
      <c r="U5" s="66" t="n">
        <f aca="false">U4*Assumptions!$B$10</f>
        <v>149924852.183421</v>
      </c>
      <c r="V5" s="66" t="n">
        <f aca="false">V4*Assumptions!$B$10</f>
        <v>167915834.445432</v>
      </c>
      <c r="W5" s="66" t="n">
        <f aca="false">W4*Assumptions!$B$10</f>
        <v>188065734.578884</v>
      </c>
      <c r="X5" s="66" t="n">
        <f aca="false">X4*Assumptions!$B$10</f>
        <v>210633622.72835</v>
      </c>
      <c r="Y5" s="66" t="n">
        <f aca="false">Y4*Assumptions!$B$10</f>
        <v>235909657.455752</v>
      </c>
      <c r="Z5" s="66" t="n">
        <f aca="false">Z4*Assumptions!$B$10</f>
        <v>250064236.903097</v>
      </c>
      <c r="AA5" s="66" t="n">
        <f aca="false">AA4*Assumptions!$B$10</f>
        <v>265068091.117283</v>
      </c>
      <c r="AB5" s="66" t="n">
        <f aca="false">AB4*Assumptions!$B$10</f>
        <v>280972176.58432</v>
      </c>
      <c r="AC5" s="66" t="n">
        <f aca="false">AC4*Assumptions!$B$10</f>
        <v>297830507.179379</v>
      </c>
      <c r="AD5" s="66" t="n">
        <f aca="false">AD4*Assumptions!$B$10</f>
        <v>315700337.610141</v>
      </c>
      <c r="AE5" s="66" t="n">
        <f aca="false">AE4*Assumptions!$B$10</f>
        <v>334642357.86675</v>
      </c>
      <c r="AF5" s="66" t="n">
        <f aca="false">AF4*Assumptions!$B$10</f>
        <v>354720899.338755</v>
      </c>
      <c r="AG5" s="66" t="n">
        <f aca="false">AG4*Assumptions!$B$10</f>
        <v>376004153.29908</v>
      </c>
      <c r="AH5" s="66" t="n">
        <f aca="false">AH4*Assumptions!$B$10</f>
        <v>398564402.497025</v>
      </c>
      <c r="AI5" s="66" t="n">
        <f aca="false">AI4*Assumptions!$B$10</f>
        <v>422478266.646847</v>
      </c>
      <c r="AJ5" s="66" t="n">
        <f aca="false">AJ4*Assumptions!$B$10</f>
        <v>447826962.645658</v>
      </c>
      <c r="AK5" s="66" t="n">
        <f aca="false">AK4*Assumptions!$B$10</f>
        <v>474696580.404397</v>
      </c>
      <c r="AL5" s="75" t="n">
        <f aca="false">SUM(B5:M5)</f>
        <v>332661109.232197</v>
      </c>
      <c r="AM5" s="75" t="n">
        <f aca="false">SUM(N5:Y5)</f>
        <v>1636670225.88143</v>
      </c>
      <c r="AN5" s="75" t="n">
        <f aca="false">SUM(Z5:AK5)</f>
        <v>4218568972.09273</v>
      </c>
    </row>
    <row r="6" customFormat="false" ht="15" hidden="false" customHeight="true" outlineLevel="0" collapsed="false">
      <c r="A6" s="58" t="s">
        <v>402</v>
      </c>
      <c r="B6" s="68" t="n">
        <f aca="false">B4-B5</f>
        <v>3150000</v>
      </c>
      <c r="C6" s="68" t="n">
        <f aca="false">C4-C5</f>
        <v>3937500</v>
      </c>
      <c r="D6" s="68" t="n">
        <f aca="false">D4-D5</f>
        <v>4921875</v>
      </c>
      <c r="E6" s="68" t="n">
        <f aca="false">E4-E5</f>
        <v>6152343.75</v>
      </c>
      <c r="F6" s="68" t="n">
        <f aca="false">F4-F5</f>
        <v>7690429.6875</v>
      </c>
      <c r="G6" s="68" t="n">
        <f aca="false">G4-G5</f>
        <v>9613037.109375</v>
      </c>
      <c r="H6" s="68" t="n">
        <f aca="false">H4-H5</f>
        <v>11343383.7890625</v>
      </c>
      <c r="I6" s="68" t="n">
        <f aca="false">I4-I5</f>
        <v>13385192.8710938</v>
      </c>
      <c r="J6" s="68" t="n">
        <f aca="false">J4-J5</f>
        <v>15794527.5878906</v>
      </c>
      <c r="K6" s="68" t="n">
        <f aca="false">K4-K5</f>
        <v>18637542.5537109</v>
      </c>
      <c r="L6" s="68" t="n">
        <f aca="false">L4-L5</f>
        <v>21992300.2133789</v>
      </c>
      <c r="M6" s="68" t="n">
        <f aca="false">M4-M5</f>
        <v>25950914.2517871</v>
      </c>
      <c r="N6" s="68" t="n">
        <f aca="false">N4-N5</f>
        <v>29065023.9620016</v>
      </c>
      <c r="O6" s="68" t="n">
        <f aca="false">O4-O5</f>
        <v>32552826.8374418</v>
      </c>
      <c r="P6" s="68" t="n">
        <f aca="false">P4-P5</f>
        <v>36459166.0579348</v>
      </c>
      <c r="Q6" s="68" t="n">
        <f aca="false">Q4-Q5</f>
        <v>40834265.9848869</v>
      </c>
      <c r="R6" s="68" t="n">
        <f aca="false">R4-R5</f>
        <v>45734377.9030734</v>
      </c>
      <c r="S6" s="68" t="n">
        <f aca="false">S4-S5</f>
        <v>51222503.2514422</v>
      </c>
      <c r="T6" s="68" t="n">
        <f aca="false">T4-T5</f>
        <v>57369203.6416153</v>
      </c>
      <c r="U6" s="68" t="n">
        <f aca="false">U4-U5</f>
        <v>64253508.0786091</v>
      </c>
      <c r="V6" s="68" t="n">
        <f aca="false">V4-V5</f>
        <v>71963929.0480422</v>
      </c>
      <c r="W6" s="68" t="n">
        <f aca="false">W4-W5</f>
        <v>80599600.5338073</v>
      </c>
      <c r="X6" s="68" t="n">
        <f aca="false">X4-X5</f>
        <v>90271552.5978642</v>
      </c>
      <c r="Y6" s="68" t="n">
        <f aca="false">Y4-Y5</f>
        <v>101104138.909608</v>
      </c>
      <c r="Z6" s="68" t="n">
        <f aca="false">Z4-Z5</f>
        <v>107170387.244184</v>
      </c>
      <c r="AA6" s="68" t="n">
        <f aca="false">AA4-AA5</f>
        <v>113600610.478835</v>
      </c>
      <c r="AB6" s="68" t="n">
        <f aca="false">AB4-AB5</f>
        <v>120416647.107566</v>
      </c>
      <c r="AC6" s="68" t="n">
        <f aca="false">AC4-AC5</f>
        <v>127641645.93402</v>
      </c>
      <c r="AD6" s="68" t="n">
        <f aca="false">AD4-AD5</f>
        <v>135300144.690061</v>
      </c>
      <c r="AE6" s="68" t="n">
        <f aca="false">AE4-AE5</f>
        <v>143418153.371464</v>
      </c>
      <c r="AF6" s="68" t="n">
        <f aca="false">AF4-AF5</f>
        <v>152023242.573752</v>
      </c>
      <c r="AG6" s="68" t="n">
        <f aca="false">AG4-AG5</f>
        <v>161144637.128177</v>
      </c>
      <c r="AH6" s="68" t="n">
        <f aca="false">AH4-AH5</f>
        <v>170813315.355868</v>
      </c>
      <c r="AI6" s="68" t="n">
        <f aca="false">AI4-AI5</f>
        <v>181062114.27722</v>
      </c>
      <c r="AJ6" s="68" t="n">
        <f aca="false">AJ4-AJ5</f>
        <v>191925841.133853</v>
      </c>
      <c r="AK6" s="68" t="n">
        <f aca="false">AK4-AK5</f>
        <v>203441391.601884</v>
      </c>
      <c r="AL6" s="74" t="n">
        <f aca="false">SUM(B6:M6)</f>
        <v>142569046.813799</v>
      </c>
      <c r="AM6" s="74" t="n">
        <f aca="false">SUM(N6:Y6)</f>
        <v>701430096.806327</v>
      </c>
      <c r="AN6" s="74" t="n">
        <f aca="false">SUM(Z6:AK6)</f>
        <v>1807958130.89688</v>
      </c>
    </row>
    <row r="7" customFormat="false" ht="15" hidden="false" customHeight="true" outlineLevel="0" collapsed="false">
      <c r="A7" s="76" t="s">
        <v>403</v>
      </c>
    </row>
    <row r="8" customFormat="false" ht="15" hidden="false" customHeight="true" outlineLevel="0" collapsed="false">
      <c r="A8" s="1" t="s">
        <v>404</v>
      </c>
      <c r="B8" s="65" t="n">
        <f aca="false">Headcount!D4</f>
        <v>30000000</v>
      </c>
      <c r="C8" s="65" t="n">
        <f aca="false">Headcount!D5</f>
        <v>30000000</v>
      </c>
      <c r="D8" s="65" t="n">
        <f aca="false">Headcount!D6</f>
        <v>30000000</v>
      </c>
      <c r="E8" s="65" t="n">
        <f aca="false">Headcount!D7</f>
        <v>30000000</v>
      </c>
      <c r="F8" s="65" t="n">
        <f aca="false">Headcount!D8</f>
        <v>30000000</v>
      </c>
      <c r="G8" s="65" t="n">
        <f aca="false">Headcount!D9</f>
        <v>30000000</v>
      </c>
      <c r="H8" s="65" t="n">
        <f aca="false">Headcount!D10</f>
        <v>40000000</v>
      </c>
      <c r="I8" s="65" t="n">
        <f aca="false">Headcount!D11</f>
        <v>40000000</v>
      </c>
      <c r="J8" s="65" t="n">
        <f aca="false">Headcount!D12</f>
        <v>40000000</v>
      </c>
      <c r="K8" s="65" t="n">
        <f aca="false">Headcount!D13</f>
        <v>40000000</v>
      </c>
      <c r="L8" s="65" t="n">
        <f aca="false">Headcount!D14</f>
        <v>40000000</v>
      </c>
      <c r="M8" s="65" t="n">
        <f aca="false">Headcount!D15</f>
        <v>40000000</v>
      </c>
      <c r="N8" s="65" t="n">
        <f aca="false">Headcount!D16</f>
        <v>50000000</v>
      </c>
      <c r="O8" s="65" t="n">
        <f aca="false">Headcount!D17</f>
        <v>50000000</v>
      </c>
      <c r="P8" s="65" t="n">
        <f aca="false">Headcount!D18</f>
        <v>50000000</v>
      </c>
      <c r="Q8" s="65" t="n">
        <f aca="false">Headcount!D19</f>
        <v>50000000</v>
      </c>
      <c r="R8" s="65" t="n">
        <f aca="false">Headcount!D20</f>
        <v>50000000</v>
      </c>
      <c r="S8" s="65" t="n">
        <f aca="false">Headcount!D21</f>
        <v>50000000</v>
      </c>
      <c r="T8" s="65" t="n">
        <f aca="false">Headcount!D22</f>
        <v>50000000</v>
      </c>
      <c r="U8" s="65" t="n">
        <f aca="false">Headcount!D23</f>
        <v>50000000</v>
      </c>
      <c r="V8" s="65" t="n">
        <f aca="false">Headcount!D24</f>
        <v>50000000</v>
      </c>
      <c r="W8" s="65" t="n">
        <f aca="false">Headcount!D25</f>
        <v>50000000</v>
      </c>
      <c r="X8" s="65" t="n">
        <f aca="false">Headcount!D26</f>
        <v>50000000</v>
      </c>
      <c r="Y8" s="65" t="n">
        <f aca="false">Headcount!D27</f>
        <v>50000000</v>
      </c>
      <c r="Z8" s="65" t="n">
        <f aca="false">Headcount!D28</f>
        <v>70000000</v>
      </c>
      <c r="AA8" s="65" t="n">
        <f aca="false">Headcount!D29</f>
        <v>70000000</v>
      </c>
      <c r="AB8" s="65" t="n">
        <f aca="false">Headcount!D30</f>
        <v>70000000</v>
      </c>
      <c r="AC8" s="65" t="n">
        <f aca="false">Headcount!D31</f>
        <v>70000000</v>
      </c>
      <c r="AD8" s="65" t="n">
        <f aca="false">Headcount!D32</f>
        <v>70000000</v>
      </c>
      <c r="AE8" s="65" t="n">
        <f aca="false">Headcount!D33</f>
        <v>70000000</v>
      </c>
      <c r="AF8" s="65" t="n">
        <f aca="false">Headcount!D34</f>
        <v>70000000</v>
      </c>
      <c r="AG8" s="65" t="n">
        <f aca="false">Headcount!D35</f>
        <v>70000000</v>
      </c>
      <c r="AH8" s="65" t="n">
        <f aca="false">Headcount!D36</f>
        <v>70000000</v>
      </c>
      <c r="AI8" s="65" t="n">
        <f aca="false">Headcount!D37</f>
        <v>70000000</v>
      </c>
      <c r="AJ8" s="65" t="n">
        <f aca="false">Headcount!D38</f>
        <v>70000000</v>
      </c>
      <c r="AK8" s="65" t="n">
        <f aca="false">Headcount!D39</f>
        <v>70000000</v>
      </c>
      <c r="AL8" s="75" t="n">
        <f aca="false">SUM(B8:M8)</f>
        <v>420000000</v>
      </c>
      <c r="AM8" s="75" t="n">
        <f aca="false">SUM(N8:Y8)</f>
        <v>600000000</v>
      </c>
      <c r="AN8" s="75" t="n">
        <f aca="false">SUM(Z8:AK8)</f>
        <v>840000000</v>
      </c>
    </row>
    <row r="9" customFormat="false" ht="15" hidden="false" customHeight="true" outlineLevel="0" collapsed="false">
      <c r="A9" s="1" t="s">
        <v>405</v>
      </c>
      <c r="B9" s="65" t="n">
        <f aca="false">Assumptions!$B$23</f>
        <v>0</v>
      </c>
      <c r="C9" s="65" t="n">
        <f aca="false">Assumptions!$B$23</f>
        <v>0</v>
      </c>
      <c r="D9" s="65" t="n">
        <f aca="false">Assumptions!$B$23</f>
        <v>0</v>
      </c>
      <c r="E9" s="65" t="n">
        <f aca="false">Assumptions!$B$23</f>
        <v>0</v>
      </c>
      <c r="F9" s="65" t="n">
        <f aca="false">Assumptions!$B$23</f>
        <v>0</v>
      </c>
      <c r="G9" s="65" t="n">
        <f aca="false">Assumptions!$B$23</f>
        <v>0</v>
      </c>
      <c r="H9" s="65" t="n">
        <f aca="false">Assumptions!$B$23</f>
        <v>0</v>
      </c>
      <c r="I9" s="65" t="n">
        <f aca="false">Assumptions!$B$23</f>
        <v>0</v>
      </c>
      <c r="J9" s="65" t="n">
        <f aca="false">Assumptions!$B$23</f>
        <v>0</v>
      </c>
      <c r="K9" s="65" t="n">
        <f aca="false">Assumptions!$B$23</f>
        <v>0</v>
      </c>
      <c r="L9" s="65" t="n">
        <f aca="false">Assumptions!$B$23</f>
        <v>0</v>
      </c>
      <c r="M9" s="65" t="n">
        <f aca="false">Assumptions!$B$23</f>
        <v>0</v>
      </c>
      <c r="N9" s="65" t="n">
        <f aca="false">Assumptions!$B$23</f>
        <v>0</v>
      </c>
      <c r="O9" s="65" t="n">
        <f aca="false">Assumptions!$B$23</f>
        <v>0</v>
      </c>
      <c r="P9" s="65" t="n">
        <f aca="false">Assumptions!$B$23</f>
        <v>0</v>
      </c>
      <c r="Q9" s="65" t="n">
        <f aca="false">Assumptions!$B$23</f>
        <v>0</v>
      </c>
      <c r="R9" s="65" t="n">
        <f aca="false">Assumptions!$B$23</f>
        <v>0</v>
      </c>
      <c r="S9" s="65" t="n">
        <f aca="false">Assumptions!$B$23</f>
        <v>0</v>
      </c>
      <c r="T9" s="65" t="n">
        <f aca="false">Assumptions!$B$23</f>
        <v>0</v>
      </c>
      <c r="U9" s="65" t="n">
        <f aca="false">Assumptions!$B$23</f>
        <v>0</v>
      </c>
      <c r="V9" s="65" t="n">
        <f aca="false">Assumptions!$B$23</f>
        <v>0</v>
      </c>
      <c r="W9" s="65" t="n">
        <f aca="false">Assumptions!$B$23</f>
        <v>0</v>
      </c>
      <c r="X9" s="65" t="n">
        <f aca="false">Assumptions!$B$23</f>
        <v>0</v>
      </c>
      <c r="Y9" s="65" t="n">
        <f aca="false">Assumptions!$B$23</f>
        <v>0</v>
      </c>
      <c r="Z9" s="65" t="n">
        <f aca="false">Assumptions!$B$23</f>
        <v>0</v>
      </c>
      <c r="AA9" s="65" t="n">
        <f aca="false">Assumptions!$B$23</f>
        <v>0</v>
      </c>
      <c r="AB9" s="65" t="n">
        <f aca="false">Assumptions!$B$23</f>
        <v>0</v>
      </c>
      <c r="AC9" s="65" t="n">
        <f aca="false">Assumptions!$B$23</f>
        <v>0</v>
      </c>
      <c r="AD9" s="65" t="n">
        <f aca="false">Assumptions!$B$23</f>
        <v>0</v>
      </c>
      <c r="AE9" s="65" t="n">
        <f aca="false">Assumptions!$B$23</f>
        <v>0</v>
      </c>
      <c r="AF9" s="65" t="n">
        <f aca="false">Assumptions!$B$23</f>
        <v>0</v>
      </c>
      <c r="AG9" s="65" t="n">
        <f aca="false">Assumptions!$B$23</f>
        <v>0</v>
      </c>
      <c r="AH9" s="65" t="n">
        <f aca="false">Assumptions!$B$23</f>
        <v>0</v>
      </c>
      <c r="AI9" s="65" t="n">
        <f aca="false">Assumptions!$B$23</f>
        <v>0</v>
      </c>
      <c r="AJ9" s="65" t="n">
        <f aca="false">Assumptions!$B$23</f>
        <v>0</v>
      </c>
      <c r="AK9" s="65" t="n">
        <f aca="false">Assumptions!$B$23</f>
        <v>0</v>
      </c>
      <c r="AL9" s="75" t="n">
        <f aca="false">SUM(B9:M9)</f>
        <v>0</v>
      </c>
      <c r="AM9" s="75" t="n">
        <f aca="false">SUM(N9:Y9)</f>
        <v>0</v>
      </c>
      <c r="AN9" s="75" t="n">
        <f aca="false">SUM(Z9:AK9)</f>
        <v>0</v>
      </c>
    </row>
    <row r="10" customFormat="false" ht="15" hidden="false" customHeight="true" outlineLevel="0" collapsed="false">
      <c r="A10" s="1" t="s">
        <v>406</v>
      </c>
      <c r="B10" s="66" t="n">
        <f aca="false">B4*IF(1&lt;=12,Assumptions!$B$24,IF(1&lt;=24,Assumptions!$B$25,Assumptions!$B$26))</f>
        <v>1260000</v>
      </c>
      <c r="C10" s="66" t="n">
        <f aca="false">C4*IF(2&lt;=12,Assumptions!$B$24,IF(2&lt;=24,Assumptions!$B$25,Assumptions!$B$26))</f>
        <v>1575000</v>
      </c>
      <c r="D10" s="66" t="n">
        <f aca="false">D4*IF(3&lt;=12,Assumptions!$B$24,IF(3&lt;=24,Assumptions!$B$25,Assumptions!$B$26))</f>
        <v>1968750</v>
      </c>
      <c r="E10" s="66" t="n">
        <f aca="false">E4*IF(4&lt;=12,Assumptions!$B$24,IF(4&lt;=24,Assumptions!$B$25,Assumptions!$B$26))</f>
        <v>2460937.5</v>
      </c>
      <c r="F10" s="66" t="n">
        <f aca="false">F4*IF(5&lt;=12,Assumptions!$B$24,IF(5&lt;=24,Assumptions!$B$25,Assumptions!$B$26))</f>
        <v>3076171.875</v>
      </c>
      <c r="G10" s="66" t="n">
        <f aca="false">G4*IF(6&lt;=12,Assumptions!$B$24,IF(6&lt;=24,Assumptions!$B$25,Assumptions!$B$26))</f>
        <v>3845214.84375</v>
      </c>
      <c r="H10" s="66" t="n">
        <f aca="false">H4*IF(7&lt;=12,Assumptions!$B$24,IF(7&lt;=24,Assumptions!$B$25,Assumptions!$B$26))</f>
        <v>4537353.515625</v>
      </c>
      <c r="I10" s="66" t="n">
        <f aca="false">I4*IF(8&lt;=12,Assumptions!$B$24,IF(8&lt;=24,Assumptions!$B$25,Assumptions!$B$26))</f>
        <v>5354077.1484375</v>
      </c>
      <c r="J10" s="66" t="n">
        <f aca="false">J4*IF(9&lt;=12,Assumptions!$B$24,IF(9&lt;=24,Assumptions!$B$25,Assumptions!$B$26))</f>
        <v>6317811.03515625</v>
      </c>
      <c r="K10" s="66" t="n">
        <f aca="false">K4*IF(10&lt;=12,Assumptions!$B$24,IF(10&lt;=24,Assumptions!$B$25,Assumptions!$B$26))</f>
        <v>7455017.02148438</v>
      </c>
      <c r="L10" s="66" t="n">
        <f aca="false">L4*IF(11&lt;=12,Assumptions!$B$24,IF(11&lt;=24,Assumptions!$B$25,Assumptions!$B$26))</f>
        <v>8796920.08535156</v>
      </c>
      <c r="M10" s="66" t="n">
        <f aca="false">M4*IF(12&lt;=12,Assumptions!$B$24,IF(12&lt;=24,Assumptions!$B$25,Assumptions!$B$26))</f>
        <v>10380365.7007148</v>
      </c>
      <c r="N10" s="66" t="n">
        <f aca="false">N4*IF(13&lt;=12,Assumptions!$B$24,IF(13&lt;=24,Assumptions!$B$25,Assumptions!$B$26))</f>
        <v>7750673.05653375</v>
      </c>
      <c r="O10" s="66" t="n">
        <f aca="false">O4*IF(14&lt;=12,Assumptions!$B$24,IF(14&lt;=24,Assumptions!$B$25,Assumptions!$B$26))</f>
        <v>8680753.8233178</v>
      </c>
      <c r="P10" s="66" t="n">
        <f aca="false">P4*IF(15&lt;=12,Assumptions!$B$24,IF(15&lt;=24,Assumptions!$B$25,Assumptions!$B$26))</f>
        <v>9722444.28211594</v>
      </c>
      <c r="Q10" s="66" t="n">
        <f aca="false">Q4*IF(16&lt;=12,Assumptions!$B$24,IF(16&lt;=24,Assumptions!$B$25,Assumptions!$B$26))</f>
        <v>10889137.5959699</v>
      </c>
      <c r="R10" s="66" t="n">
        <f aca="false">R4*IF(17&lt;=12,Assumptions!$B$24,IF(17&lt;=24,Assumptions!$B$25,Assumptions!$B$26))</f>
        <v>12195834.1074862</v>
      </c>
      <c r="S10" s="66" t="n">
        <f aca="false">S4*IF(18&lt;=12,Assumptions!$B$24,IF(18&lt;=24,Assumptions!$B$25,Assumptions!$B$26))</f>
        <v>13659334.2003846</v>
      </c>
      <c r="T10" s="66" t="n">
        <f aca="false">T4*IF(19&lt;=12,Assumptions!$B$24,IF(19&lt;=24,Assumptions!$B$25,Assumptions!$B$26))</f>
        <v>15298454.3044307</v>
      </c>
      <c r="U10" s="66" t="n">
        <f aca="false">U4*IF(20&lt;=12,Assumptions!$B$24,IF(20&lt;=24,Assumptions!$B$25,Assumptions!$B$26))</f>
        <v>17134268.8209624</v>
      </c>
      <c r="V10" s="66" t="n">
        <f aca="false">V4*IF(21&lt;=12,Assumptions!$B$24,IF(21&lt;=24,Assumptions!$B$25,Assumptions!$B$26))</f>
        <v>19190381.0794779</v>
      </c>
      <c r="W10" s="66" t="n">
        <f aca="false">W4*IF(22&lt;=12,Assumptions!$B$24,IF(22&lt;=24,Assumptions!$B$25,Assumptions!$B$26))</f>
        <v>21493226.8090153</v>
      </c>
      <c r="X10" s="66" t="n">
        <f aca="false">X4*IF(23&lt;=12,Assumptions!$B$24,IF(23&lt;=24,Assumptions!$B$25,Assumptions!$B$26))</f>
        <v>24072414.0260971</v>
      </c>
      <c r="Y10" s="66" t="n">
        <f aca="false">Y4*IF(24&lt;=12,Assumptions!$B$24,IF(24&lt;=24,Assumptions!$B$25,Assumptions!$B$26))</f>
        <v>26961103.7092288</v>
      </c>
      <c r="Z10" s="66" t="n">
        <f aca="false">Z4*IF(25&lt;=12,Assumptions!$B$24,IF(25&lt;=24,Assumptions!$B$25,Assumptions!$B$26))</f>
        <v>21434077.4488369</v>
      </c>
      <c r="AA10" s="66" t="n">
        <f aca="false">AA4*IF(26&lt;=12,Assumptions!$B$24,IF(26&lt;=24,Assumptions!$B$25,Assumptions!$B$26))</f>
        <v>22720122.0957671</v>
      </c>
      <c r="AB10" s="66" t="n">
        <f aca="false">AB4*IF(27&lt;=12,Assumptions!$B$24,IF(27&lt;=24,Assumptions!$B$25,Assumptions!$B$26))</f>
        <v>24083329.4215131</v>
      </c>
      <c r="AC10" s="66" t="n">
        <f aca="false">AC4*IF(28&lt;=12,Assumptions!$B$24,IF(28&lt;=24,Assumptions!$B$25,Assumptions!$B$26))</f>
        <v>25528329.1868039</v>
      </c>
      <c r="AD10" s="66" t="n">
        <f aca="false">AD4*IF(29&lt;=12,Assumptions!$B$24,IF(29&lt;=24,Assumptions!$B$25,Assumptions!$B$26))</f>
        <v>27060028.9380121</v>
      </c>
      <c r="AE10" s="66" t="n">
        <f aca="false">AE4*IF(30&lt;=12,Assumptions!$B$24,IF(30&lt;=24,Assumptions!$B$25,Assumptions!$B$26))</f>
        <v>28683630.6742929</v>
      </c>
      <c r="AF10" s="66" t="n">
        <f aca="false">AF4*IF(31&lt;=12,Assumptions!$B$24,IF(31&lt;=24,Assumptions!$B$25,Assumptions!$B$26))</f>
        <v>30404648.5147504</v>
      </c>
      <c r="AG10" s="66" t="n">
        <f aca="false">AG4*IF(32&lt;=12,Assumptions!$B$24,IF(32&lt;=24,Assumptions!$B$25,Assumptions!$B$26))</f>
        <v>32228927.4256355</v>
      </c>
      <c r="AH10" s="66" t="n">
        <f aca="false">AH4*IF(33&lt;=12,Assumptions!$B$24,IF(33&lt;=24,Assumptions!$B$25,Assumptions!$B$26))</f>
        <v>34162663.0711736</v>
      </c>
      <c r="AI10" s="66" t="n">
        <f aca="false">AI4*IF(34&lt;=12,Assumptions!$B$24,IF(34&lt;=24,Assumptions!$B$25,Assumptions!$B$26))</f>
        <v>36212422.855444</v>
      </c>
      <c r="AJ10" s="66" t="n">
        <f aca="false">AJ4*IF(35&lt;=12,Assumptions!$B$24,IF(35&lt;=24,Assumptions!$B$25,Assumptions!$B$26))</f>
        <v>38385168.2267706</v>
      </c>
      <c r="AK10" s="66" t="n">
        <f aca="false">AK4*IF(36&lt;=12,Assumptions!$B$24,IF(36&lt;=24,Assumptions!$B$25,Assumptions!$B$26))</f>
        <v>40688278.3203769</v>
      </c>
      <c r="AL10" s="75" t="n">
        <f aca="false">SUM(B10:M10)</f>
        <v>57027618.7255195</v>
      </c>
      <c r="AM10" s="75" t="n">
        <f aca="false">SUM(N10:Y10)</f>
        <v>187048025.81502</v>
      </c>
      <c r="AN10" s="75" t="n">
        <f aca="false">SUM(Z10:AK10)</f>
        <v>361591626.179377</v>
      </c>
    </row>
    <row r="11" customFormat="false" ht="15" hidden="false" customHeight="true" outlineLevel="0" collapsed="false">
      <c r="A11" s="1" t="s">
        <v>407</v>
      </c>
      <c r="B11" s="66" t="n">
        <f aca="false">B4*Assumptions!$B$11</f>
        <v>420000</v>
      </c>
      <c r="C11" s="66" t="n">
        <f aca="false">C4*Assumptions!$B$11</f>
        <v>525000</v>
      </c>
      <c r="D11" s="66" t="n">
        <f aca="false">D4*Assumptions!$B$11</f>
        <v>656250</v>
      </c>
      <c r="E11" s="66" t="n">
        <f aca="false">E4*Assumptions!$B$11</f>
        <v>820312.5</v>
      </c>
      <c r="F11" s="66" t="n">
        <f aca="false">F4*Assumptions!$B$11</f>
        <v>1025390.625</v>
      </c>
      <c r="G11" s="66" t="n">
        <f aca="false">G4*Assumptions!$B$11</f>
        <v>1281738.28125</v>
      </c>
      <c r="H11" s="66" t="n">
        <f aca="false">H4*Assumptions!$B$11</f>
        <v>1512451.171875</v>
      </c>
      <c r="I11" s="66" t="n">
        <f aca="false">I4*Assumptions!$B$11</f>
        <v>1784692.3828125</v>
      </c>
      <c r="J11" s="66" t="n">
        <f aca="false">J4*Assumptions!$B$11</f>
        <v>2105937.01171875</v>
      </c>
      <c r="K11" s="66" t="n">
        <f aca="false">K4*Assumptions!$B$11</f>
        <v>2485005.67382813</v>
      </c>
      <c r="L11" s="66" t="n">
        <f aca="false">L4*Assumptions!$B$11</f>
        <v>2932306.69511719</v>
      </c>
      <c r="M11" s="66" t="n">
        <f aca="false">M4*Assumptions!$B$11</f>
        <v>3460121.90023828</v>
      </c>
      <c r="N11" s="66" t="n">
        <f aca="false">N4*Assumptions!$B$11</f>
        <v>3875336.52826688</v>
      </c>
      <c r="O11" s="66" t="n">
        <f aca="false">O4*Assumptions!$B$11</f>
        <v>4340376.9116589</v>
      </c>
      <c r="P11" s="66" t="n">
        <f aca="false">P4*Assumptions!$B$11</f>
        <v>4861222.14105797</v>
      </c>
      <c r="Q11" s="66" t="n">
        <f aca="false">Q4*Assumptions!$B$11</f>
        <v>5444568.79798493</v>
      </c>
      <c r="R11" s="66" t="n">
        <f aca="false">R4*Assumptions!$B$11</f>
        <v>6097917.05374312</v>
      </c>
      <c r="S11" s="66" t="n">
        <f aca="false">S4*Assumptions!$B$11</f>
        <v>6829667.10019229</v>
      </c>
      <c r="T11" s="66" t="n">
        <f aca="false">T4*Assumptions!$B$11</f>
        <v>7649227.15221537</v>
      </c>
      <c r="U11" s="66" t="n">
        <f aca="false">U4*Assumptions!$B$11</f>
        <v>8567134.41048121</v>
      </c>
      <c r="V11" s="66" t="n">
        <f aca="false">V4*Assumptions!$B$11</f>
        <v>9595190.53973896</v>
      </c>
      <c r="W11" s="66" t="n">
        <f aca="false">W4*Assumptions!$B$11</f>
        <v>10746613.4045076</v>
      </c>
      <c r="X11" s="66" t="n">
        <f aca="false">X4*Assumptions!$B$11</f>
        <v>12036207.0130486</v>
      </c>
      <c r="Y11" s="66" t="n">
        <f aca="false">Y4*Assumptions!$B$11</f>
        <v>13480551.8546144</v>
      </c>
      <c r="Z11" s="66" t="n">
        <f aca="false">Z4*Assumptions!$B$11</f>
        <v>14289384.9658912</v>
      </c>
      <c r="AA11" s="66" t="n">
        <f aca="false">AA4*Assumptions!$B$11</f>
        <v>15146748.0638447</v>
      </c>
      <c r="AB11" s="66" t="n">
        <f aca="false">AB4*Assumptions!$B$11</f>
        <v>16055552.9476754</v>
      </c>
      <c r="AC11" s="66" t="n">
        <f aca="false">AC4*Assumptions!$B$11</f>
        <v>17018886.1245359</v>
      </c>
      <c r="AD11" s="66" t="n">
        <f aca="false">AD4*Assumptions!$B$11</f>
        <v>18040019.2920081</v>
      </c>
      <c r="AE11" s="66" t="n">
        <f aca="false">AE4*Assumptions!$B$11</f>
        <v>19122420.4495286</v>
      </c>
      <c r="AF11" s="66" t="n">
        <f aca="false">AF4*Assumptions!$B$11</f>
        <v>20269765.6765003</v>
      </c>
      <c r="AG11" s="66" t="n">
        <f aca="false">AG4*Assumptions!$B$11</f>
        <v>21485951.6170903</v>
      </c>
      <c r="AH11" s="66" t="n">
        <f aca="false">AH4*Assumptions!$B$11</f>
        <v>22775108.7141157</v>
      </c>
      <c r="AI11" s="66" t="n">
        <f aca="false">AI4*Assumptions!$B$11</f>
        <v>24141615.2369627</v>
      </c>
      <c r="AJ11" s="66" t="n">
        <f aca="false">AJ4*Assumptions!$B$11</f>
        <v>25590112.1511804</v>
      </c>
      <c r="AK11" s="66" t="n">
        <f aca="false">AK4*Assumptions!$B$11</f>
        <v>27125518.8802513</v>
      </c>
      <c r="AL11" s="75" t="n">
        <f aca="false">SUM(B11:M11)</f>
        <v>19009206.2418398</v>
      </c>
      <c r="AM11" s="75" t="n">
        <f aca="false">SUM(N11:Y11)</f>
        <v>93524012.9075102</v>
      </c>
      <c r="AN11" s="75" t="n">
        <f aca="false">SUM(Z11:AK11)</f>
        <v>241061084.119585</v>
      </c>
    </row>
    <row r="12" customFormat="false" ht="15" hidden="false" customHeight="true" outlineLevel="0" collapsed="false">
      <c r="A12" s="1" t="s">
        <v>408</v>
      </c>
      <c r="B12" s="66" t="n">
        <f aca="false">Revenue!C4*Assumptions!$B$12</f>
        <v>1800000</v>
      </c>
      <c r="C12" s="66" t="n">
        <f aca="false">Revenue!C5*Assumptions!$B$12</f>
        <v>2250000</v>
      </c>
      <c r="D12" s="66" t="n">
        <f aca="false">Revenue!C6*Assumptions!$B$12</f>
        <v>2812500</v>
      </c>
      <c r="E12" s="66" t="n">
        <f aca="false">Revenue!C7*Assumptions!$B$12</f>
        <v>3515625</v>
      </c>
      <c r="F12" s="66" t="n">
        <f aca="false">Revenue!C8*Assumptions!$B$12</f>
        <v>4394531.25</v>
      </c>
      <c r="G12" s="66" t="n">
        <f aca="false">Revenue!C9*Assumptions!$B$12</f>
        <v>5493164.0625</v>
      </c>
      <c r="H12" s="66" t="n">
        <f aca="false">Revenue!C10*Assumptions!$B$12</f>
        <v>6481933.59375</v>
      </c>
      <c r="I12" s="66" t="n">
        <f aca="false">Revenue!C11*Assumptions!$B$12</f>
        <v>7648681.640625</v>
      </c>
      <c r="J12" s="66" t="n">
        <f aca="false">Revenue!C12*Assumptions!$B$12</f>
        <v>9025444.3359375</v>
      </c>
      <c r="K12" s="66" t="n">
        <f aca="false">Revenue!C13*Assumptions!$B$12</f>
        <v>10650024.3164063</v>
      </c>
      <c r="L12" s="66" t="n">
        <f aca="false">Revenue!C14*Assumptions!$B$12</f>
        <v>12567028.6933594</v>
      </c>
      <c r="M12" s="66" t="n">
        <f aca="false">Revenue!C15*Assumptions!$B$12</f>
        <v>14829093.8581641</v>
      </c>
      <c r="N12" s="66" t="n">
        <f aca="false">Revenue!C16*Assumptions!$B$12</f>
        <v>16608585.1211438</v>
      </c>
      <c r="O12" s="66" t="n">
        <f aca="false">Revenue!C17*Assumptions!$B$12</f>
        <v>18601615.335681</v>
      </c>
      <c r="P12" s="66" t="n">
        <f aca="false">Revenue!C18*Assumptions!$B$12</f>
        <v>20833809.1759627</v>
      </c>
      <c r="Q12" s="66" t="n">
        <f aca="false">Revenue!C19*Assumptions!$B$12</f>
        <v>23333866.2770783</v>
      </c>
      <c r="R12" s="66" t="n">
        <f aca="false">Revenue!C20*Assumptions!$B$12</f>
        <v>26133930.2303276</v>
      </c>
      <c r="S12" s="66" t="n">
        <f aca="false">Revenue!C21*Assumptions!$B$12</f>
        <v>29270001.857967</v>
      </c>
      <c r="T12" s="66" t="n">
        <f aca="false">Revenue!C22*Assumptions!$B$12</f>
        <v>32782402.080923</v>
      </c>
      <c r="U12" s="66" t="n">
        <f aca="false">Revenue!C23*Assumptions!$B$12</f>
        <v>36716290.3306338</v>
      </c>
      <c r="V12" s="66" t="n">
        <f aca="false">Revenue!C24*Assumptions!$B$12</f>
        <v>41122245.1703098</v>
      </c>
      <c r="W12" s="66" t="n">
        <f aca="false">Revenue!C25*Assumptions!$B$12</f>
        <v>46056914.590747</v>
      </c>
      <c r="X12" s="66" t="n">
        <f aca="false">Revenue!C26*Assumptions!$B$12</f>
        <v>51583744.3416367</v>
      </c>
      <c r="Y12" s="66" t="n">
        <f aca="false">Revenue!C27*Assumptions!$B$12</f>
        <v>57773793.6626331</v>
      </c>
      <c r="Z12" s="66" t="n">
        <f aca="false">Revenue!C28*Assumptions!$B$12</f>
        <v>61240221.282391</v>
      </c>
      <c r="AA12" s="66" t="n">
        <f aca="false">Revenue!C29*Assumptions!$B$12</f>
        <v>64914634.5593345</v>
      </c>
      <c r="AB12" s="66" t="n">
        <f aca="false">Revenue!C30*Assumptions!$B$12</f>
        <v>68809512.6328946</v>
      </c>
      <c r="AC12" s="66" t="n">
        <f aca="false">Revenue!C31*Assumptions!$B$12</f>
        <v>72938083.3908683</v>
      </c>
      <c r="AD12" s="66" t="n">
        <f aca="false">Revenue!C32*Assumptions!$B$12</f>
        <v>77314368.3943204</v>
      </c>
      <c r="AE12" s="66" t="n">
        <f aca="false">Revenue!C33*Assumptions!$B$12</f>
        <v>81953230.4979796</v>
      </c>
      <c r="AF12" s="66" t="n">
        <f aca="false">Revenue!C34*Assumptions!$B$12</f>
        <v>86870424.3278584</v>
      </c>
      <c r="AG12" s="66" t="n">
        <f aca="false">Revenue!C35*Assumptions!$B$12</f>
        <v>92082649.7875299</v>
      </c>
      <c r="AH12" s="66" t="n">
        <f aca="false">Revenue!C36*Assumptions!$B$12</f>
        <v>97607608.7747817</v>
      </c>
      <c r="AI12" s="66" t="n">
        <f aca="false">Revenue!C37*Assumptions!$B$12</f>
        <v>103464065.301269</v>
      </c>
      <c r="AJ12" s="66" t="n">
        <f aca="false">Revenue!C38*Assumptions!$B$12</f>
        <v>109671909.219345</v>
      </c>
      <c r="AK12" s="66" t="n">
        <f aca="false">Revenue!C39*Assumptions!$B$12</f>
        <v>116252223.772505</v>
      </c>
      <c r="AL12" s="75" t="n">
        <f aca="false">SUM(B12:M12)</f>
        <v>81468026.7507422</v>
      </c>
      <c r="AM12" s="75" t="n">
        <f aca="false">SUM(N12:Y12)</f>
        <v>400817198.175044</v>
      </c>
      <c r="AN12" s="75" t="n">
        <f aca="false">SUM(Z12:AK12)</f>
        <v>1033118931.94108</v>
      </c>
    </row>
    <row r="13" customFormat="false" ht="15" hidden="false" customHeight="true" outlineLevel="0" collapsed="false">
      <c r="A13" s="58" t="s">
        <v>409</v>
      </c>
      <c r="B13" s="77" t="n">
        <f aca="false">SUM(B8:B12)</f>
        <v>33480000</v>
      </c>
      <c r="C13" s="77" t="n">
        <f aca="false">SUM(C8:C12)</f>
        <v>34350000</v>
      </c>
      <c r="D13" s="77" t="n">
        <f aca="false">SUM(D8:D12)</f>
        <v>35437500</v>
      </c>
      <c r="E13" s="77" t="n">
        <f aca="false">SUM(E8:E12)</f>
        <v>36796875</v>
      </c>
      <c r="F13" s="77" t="n">
        <f aca="false">SUM(F8:F12)</f>
        <v>38496093.75</v>
      </c>
      <c r="G13" s="77" t="n">
        <f aca="false">SUM(G8:G12)</f>
        <v>40620117.1875</v>
      </c>
      <c r="H13" s="77" t="n">
        <f aca="false">SUM(H8:H12)</f>
        <v>52531738.28125</v>
      </c>
      <c r="I13" s="77" t="n">
        <f aca="false">SUM(I8:I12)</f>
        <v>54787451.171875</v>
      </c>
      <c r="J13" s="77" t="n">
        <f aca="false">SUM(J8:J12)</f>
        <v>57449192.3828125</v>
      </c>
      <c r="K13" s="77" t="n">
        <f aca="false">SUM(K8:K12)</f>
        <v>60590047.0117188</v>
      </c>
      <c r="L13" s="77" t="n">
        <f aca="false">SUM(L8:L12)</f>
        <v>64296255.4738281</v>
      </c>
      <c r="M13" s="77" t="n">
        <f aca="false">SUM(M8:M12)</f>
        <v>68669581.4591172</v>
      </c>
      <c r="N13" s="77" t="n">
        <f aca="false">SUM(N8:N12)</f>
        <v>78234594.7059444</v>
      </c>
      <c r="O13" s="77" t="n">
        <f aca="false">SUM(O8:O12)</f>
        <v>81622746.0706577</v>
      </c>
      <c r="P13" s="77" t="n">
        <f aca="false">SUM(P8:P12)</f>
        <v>85417475.5991366</v>
      </c>
      <c r="Q13" s="77" t="n">
        <f aca="false">SUM(Q8:Q12)</f>
        <v>89667572.671033</v>
      </c>
      <c r="R13" s="77" t="n">
        <f aca="false">SUM(R8:R12)</f>
        <v>94427681.391557</v>
      </c>
      <c r="S13" s="77" t="n">
        <f aca="false">SUM(S8:S12)</f>
        <v>99759003.1585439</v>
      </c>
      <c r="T13" s="77" t="n">
        <f aca="false">SUM(T8:T12)</f>
        <v>105730083.537569</v>
      </c>
      <c r="U13" s="77" t="n">
        <f aca="false">SUM(U8:U12)</f>
        <v>112417693.562077</v>
      </c>
      <c r="V13" s="77" t="n">
        <f aca="false">SUM(V8:V12)</f>
        <v>119907816.789527</v>
      </c>
      <c r="W13" s="77" t="n">
        <f aca="false">SUM(W8:W12)</f>
        <v>128296754.80427</v>
      </c>
      <c r="X13" s="77" t="n">
        <f aca="false">SUM(X8:X12)</f>
        <v>137692365.380782</v>
      </c>
      <c r="Y13" s="77" t="n">
        <f aca="false">SUM(Y8:Y12)</f>
        <v>148215449.226476</v>
      </c>
      <c r="Z13" s="77" t="n">
        <f aca="false">SUM(Z8:Z12)</f>
        <v>166963683.697119</v>
      </c>
      <c r="AA13" s="77" t="n">
        <f aca="false">SUM(AA8:AA12)</f>
        <v>172781504.718946</v>
      </c>
      <c r="AB13" s="77" t="n">
        <f aca="false">SUM(AB8:AB12)</f>
        <v>178948395.002083</v>
      </c>
      <c r="AC13" s="77" t="n">
        <f aca="false">SUM(AC8:AC12)</f>
        <v>185485298.702208</v>
      </c>
      <c r="AD13" s="77" t="n">
        <f aca="false">SUM(AD8:AD12)</f>
        <v>192414416.624341</v>
      </c>
      <c r="AE13" s="77" t="n">
        <f aca="false">SUM(AE8:AE12)</f>
        <v>199759281.621801</v>
      </c>
      <c r="AF13" s="77" t="n">
        <f aca="false">SUM(AF8:AF12)</f>
        <v>207544838.519109</v>
      </c>
      <c r="AG13" s="77" t="n">
        <f aca="false">SUM(AG8:AG12)</f>
        <v>215797528.830256</v>
      </c>
      <c r="AH13" s="77" t="n">
        <f aca="false">SUM(AH8:AH12)</f>
        <v>224545380.560071</v>
      </c>
      <c r="AI13" s="77" t="n">
        <f aca="false">SUM(AI8:AI12)</f>
        <v>233818103.393675</v>
      </c>
      <c r="AJ13" s="77" t="n">
        <f aca="false">SUM(AJ8:AJ12)</f>
        <v>243647189.597296</v>
      </c>
      <c r="AK13" s="77" t="n">
        <f aca="false">SUM(AK8:AK12)</f>
        <v>254066020.973134</v>
      </c>
      <c r="AL13" s="74" t="n">
        <f aca="false">SUM(B13:M13)</f>
        <v>577504851.718102</v>
      </c>
      <c r="AM13" s="74" t="n">
        <f aca="false">SUM(N13:Y13)</f>
        <v>1281389236.89757</v>
      </c>
      <c r="AN13" s="74" t="n">
        <f aca="false">SUM(Z13:AK13)</f>
        <v>2475771642.24004</v>
      </c>
    </row>
    <row r="14" customFormat="false" ht="15" hidden="false" customHeight="true" outlineLevel="0" collapsed="false">
      <c r="A14" s="58" t="s">
        <v>410</v>
      </c>
      <c r="B14" s="78" t="n">
        <f aca="false">B6-B13</f>
        <v>-30330000</v>
      </c>
      <c r="C14" s="78" t="n">
        <f aca="false">C6-C13</f>
        <v>-30412500</v>
      </c>
      <c r="D14" s="78" t="n">
        <f aca="false">D6-D13</f>
        <v>-30515625</v>
      </c>
      <c r="E14" s="78" t="n">
        <f aca="false">E6-E13</f>
        <v>-30644531.25</v>
      </c>
      <c r="F14" s="78" t="n">
        <f aca="false">F6-F13</f>
        <v>-30805664.0625</v>
      </c>
      <c r="G14" s="78" t="n">
        <f aca="false">G6-G13</f>
        <v>-31007080.078125</v>
      </c>
      <c r="H14" s="78" t="n">
        <f aca="false">H6-H13</f>
        <v>-41188354.4921875</v>
      </c>
      <c r="I14" s="78" t="n">
        <f aca="false">I6-I13</f>
        <v>-41402258.3007813</v>
      </c>
      <c r="J14" s="78" t="n">
        <f aca="false">J6-J13</f>
        <v>-41654664.7949219</v>
      </c>
      <c r="K14" s="78" t="n">
        <f aca="false">K6-K13</f>
        <v>-41952504.4580078</v>
      </c>
      <c r="L14" s="78" t="n">
        <f aca="false">L6-L13</f>
        <v>-42303955.2604492</v>
      </c>
      <c r="M14" s="78" t="n">
        <f aca="false">M6-M13</f>
        <v>-42718667.2073301</v>
      </c>
      <c r="N14" s="78" t="n">
        <f aca="false">N6-N13</f>
        <v>-49169570.7439428</v>
      </c>
      <c r="O14" s="78" t="n">
        <f aca="false">O6-O13</f>
        <v>-49069919.2332159</v>
      </c>
      <c r="P14" s="78" t="n">
        <f aca="false">P6-P13</f>
        <v>-48958309.5412019</v>
      </c>
      <c r="Q14" s="78" t="n">
        <f aca="false">Q6-Q13</f>
        <v>-48833306.6861461</v>
      </c>
      <c r="R14" s="78" t="n">
        <f aca="false">R6-R13</f>
        <v>-48693303.4884836</v>
      </c>
      <c r="S14" s="78" t="n">
        <f aca="false">S6-S13</f>
        <v>-48536499.9071016</v>
      </c>
      <c r="T14" s="78" t="n">
        <f aca="false">T6-T13</f>
        <v>-48360879.8959539</v>
      </c>
      <c r="U14" s="78" t="n">
        <f aca="false">U6-U13</f>
        <v>-48164185.4834683</v>
      </c>
      <c r="V14" s="78" t="n">
        <f aca="false">V6-V13</f>
        <v>-47943887.7414845</v>
      </c>
      <c r="W14" s="78" t="n">
        <f aca="false">W6-W13</f>
        <v>-47697154.2704627</v>
      </c>
      <c r="X14" s="78" t="n">
        <f aca="false">X6-X13</f>
        <v>-47420812.7829182</v>
      </c>
      <c r="Y14" s="78" t="n">
        <f aca="false">Y6-Y13</f>
        <v>-47111310.3168683</v>
      </c>
      <c r="Z14" s="78" t="n">
        <f aca="false">Z6-Z13</f>
        <v>-59793296.4529348</v>
      </c>
      <c r="AA14" s="78" t="n">
        <f aca="false">AA6-AA13</f>
        <v>-59180894.2401109</v>
      </c>
      <c r="AB14" s="78" t="n">
        <f aca="false">AB6-AB13</f>
        <v>-58531747.8945176</v>
      </c>
      <c r="AC14" s="78" t="n">
        <f aca="false">AC6-AC13</f>
        <v>-57843652.7681886</v>
      </c>
      <c r="AD14" s="78" t="n">
        <f aca="false">AD6-AD13</f>
        <v>-57114271.93428</v>
      </c>
      <c r="AE14" s="78" t="n">
        <f aca="false">AE6-AE13</f>
        <v>-56341128.2503367</v>
      </c>
      <c r="AF14" s="78" t="n">
        <f aca="false">AF6-AF13</f>
        <v>-55521595.9453569</v>
      </c>
      <c r="AG14" s="78" t="n">
        <f aca="false">AG6-AG13</f>
        <v>-54652891.7020783</v>
      </c>
      <c r="AH14" s="78" t="n">
        <f aca="false">AH6-AH13</f>
        <v>-53732065.204203</v>
      </c>
      <c r="AI14" s="78" t="n">
        <f aca="false">AI6-AI13</f>
        <v>-52755989.1164552</v>
      </c>
      <c r="AJ14" s="78" t="n">
        <f aca="false">AJ6-AJ13</f>
        <v>-51721348.4634425</v>
      </c>
      <c r="AK14" s="78" t="n">
        <f aca="false">AK6-AK13</f>
        <v>-50624629.3712491</v>
      </c>
      <c r="AL14" s="79" t="n">
        <f aca="false">AL6-AL13</f>
        <v>-434935804.904303</v>
      </c>
      <c r="AM14" s="79" t="n">
        <f aca="false">AM6-AM13</f>
        <v>-579959140.091248</v>
      </c>
      <c r="AN14" s="79" t="n">
        <f aca="false">AN6-AN13</f>
        <v>-667813511.343154</v>
      </c>
    </row>
    <row r="15" customFormat="false" ht="15" hidden="false" customHeight="true" outlineLevel="0" collapsed="false">
      <c r="A15" s="58" t="s">
        <v>411</v>
      </c>
      <c r="B15" s="80" t="n">
        <f aca="false">IF(B4=0,0,B14/B4)</f>
        <v>-2.88857142857143</v>
      </c>
      <c r="C15" s="80" t="n">
        <f aca="false">IF(C4=0,0,C14/C4)</f>
        <v>-2.31714285714286</v>
      </c>
      <c r="D15" s="80" t="n">
        <f aca="false">IF(D4=0,0,D14/D4)</f>
        <v>-1.86</v>
      </c>
      <c r="E15" s="80" t="n">
        <f aca="false">IF(E4=0,0,E14/E4)</f>
        <v>-1.49428571428571</v>
      </c>
      <c r="F15" s="80" t="n">
        <f aca="false">IF(F4=0,0,F14/F4)</f>
        <v>-1.20171428571429</v>
      </c>
      <c r="G15" s="80" t="n">
        <f aca="false">IF(G4=0,0,G14/G4)</f>
        <v>-0.967657142857143</v>
      </c>
      <c r="H15" s="80" t="n">
        <f aca="false">IF(H4=0,0,H14/H4)</f>
        <v>-1.08931396287328</v>
      </c>
      <c r="I15" s="80" t="n">
        <f aca="false">IF(I4=0,0,I14/I4)</f>
        <v>-0.927941615025786</v>
      </c>
      <c r="J15" s="80" t="n">
        <f aca="false">IF(J4=0,0,J14/J4)</f>
        <v>-0.791185388036381</v>
      </c>
      <c r="K15" s="80" t="n">
        <f aca="false">IF(K4=0,0,K14/K4)</f>
        <v>-0.67529028041824</v>
      </c>
      <c r="L15" s="80" t="n">
        <f aca="false">IF(L4=0,0,L14/L4)</f>
        <v>-0.577074087521511</v>
      </c>
      <c r="M15" s="80" t="n">
        <f aca="false">IF(M4=0,0,M14/M4)</f>
        <v>-0.493840025744622</v>
      </c>
      <c r="N15" s="80" t="n">
        <f aca="false">IF(N4=0,0,N14/N4)</f>
        <v>-0.507512783834878</v>
      </c>
      <c r="O15" s="80" t="n">
        <f aca="false">IF(O4=0,0,O14/O4)</f>
        <v>-0.452218046791345</v>
      </c>
      <c r="P15" s="80" t="n">
        <f aca="false">IF(P4=0,0,P14/P4)</f>
        <v>-0.402847745859619</v>
      </c>
      <c r="Q15" s="80" t="n">
        <f aca="false">IF(Q4=0,0,Q14/Q4)</f>
        <v>-0.358767120027721</v>
      </c>
      <c r="R15" s="80" t="n">
        <f aca="false">IF(R4=0,0,R14/R4)</f>
        <v>-0.319409418392098</v>
      </c>
      <c r="S15" s="80" t="n">
        <f aca="false">IF(S4=0,0,S14/S4)</f>
        <v>-0.284268613360291</v>
      </c>
      <c r="T15" s="80" t="n">
        <f aca="false">IF(T4=0,0,T14/T4)</f>
        <v>-0.252892894581893</v>
      </c>
      <c r="U15" s="80" t="n">
        <f aca="false">IF(U4=0,0,U14/U4)</f>
        <v>-0.224878859958323</v>
      </c>
      <c r="V15" s="80" t="n">
        <f aca="false">IF(V4=0,0,V14/V4)</f>
        <v>-0.199866329044421</v>
      </c>
      <c r="W15" s="80" t="n">
        <f aca="false">IF(W4=0,0,W14/W4)</f>
        <v>-0.177533712157008</v>
      </c>
      <c r="X15" s="80" t="n">
        <f aca="false">IF(X4=0,0,X14/X4)</f>
        <v>-0.15759387565039</v>
      </c>
      <c r="Y15" s="80" t="n">
        <f aca="false">IF(Y4=0,0,Y14/Y4)</f>
        <v>-0.139790450198052</v>
      </c>
      <c r="Z15" s="80" t="n">
        <f aca="false">IF(Z4=0,0,Z14/Z4)</f>
        <v>-0.167378222633546</v>
      </c>
      <c r="AA15" s="80" t="n">
        <f aca="false">IF(AA4=0,0,AA14/AA4)</f>
        <v>-0.156286732942699</v>
      </c>
      <c r="AB15" s="80" t="n">
        <f aca="false">IF(AB4=0,0,AB14/AB4)</f>
        <v>-0.145823063423031</v>
      </c>
      <c r="AC15" s="80" t="n">
        <f aca="false">IF(AC4=0,0,AC14/AC4)</f>
        <v>-0.135951677083722</v>
      </c>
      <c r="AD15" s="80" t="n">
        <f aca="false">IF(AD4=0,0,AD14/AD4)</f>
        <v>-0.126639048461732</v>
      </c>
      <c r="AE15" s="80" t="n">
        <f aca="false">IF(AE4=0,0,AE14/AE4)</f>
        <v>-0.117853549761742</v>
      </c>
      <c r="AF15" s="80" t="n">
        <f aca="false">IF(AF4=0,0,AF14/AF4)</f>
        <v>-0.109565343440996</v>
      </c>
      <c r="AG15" s="80" t="n">
        <f aca="false">IF(AG4=0,0,AG14/AG4)</f>
        <v>-0.101746280874255</v>
      </c>
      <c r="AH15" s="80" t="n">
        <f aca="false">IF(AH4=0,0,AH14/AH4)</f>
        <v>-0.0943698067546885</v>
      </c>
      <c r="AI15" s="80" t="n">
        <f aca="false">IF(AI4=0,0,AI14/AI4)</f>
        <v>-0.0874108689060403</v>
      </c>
      <c r="AJ15" s="80" t="n">
        <f aca="false">IF(AJ4=0,0,AJ14/AJ4)</f>
        <v>-0.0808458331997684</v>
      </c>
      <c r="AK15" s="80" t="n">
        <f aca="false">IF(AK4=0,0,AK14/AK4)</f>
        <v>-0.0746524032881913</v>
      </c>
      <c r="AL15" s="81" t="n">
        <f aca="false">AL14/AL4</f>
        <v>-0.915210870713782</v>
      </c>
      <c r="AM15" s="81" t="n">
        <f aca="false">AM14/AM4</f>
        <v>-0.248047157969919</v>
      </c>
      <c r="AN15" s="81" t="n">
        <f aca="false">AN14/AN4</f>
        <v>-0.110812330207868</v>
      </c>
    </row>
  </sheetData>
  <mergeCells count="1">
    <mergeCell ref="A1:J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6796875" defaultRowHeight="15" customHeight="false" zeroHeight="false" outlineLevelRow="0" outlineLevelCol="0"/>
  <cols>
    <col collapsed="false" customWidth="true" hidden="false" outlineLevel="0" max="1" min="1" style="1" width="10"/>
    <col collapsed="false" customWidth="true" hidden="false" outlineLevel="0" max="2" min="2" style="1" width="18"/>
    <col collapsed="false" customWidth="true" hidden="false" outlineLevel="0" max="3" min="3" style="1" width="12"/>
    <col collapsed="false" customWidth="true" hidden="false" outlineLevel="0" max="4" min="4" style="1" width="18"/>
    <col collapsed="false" customWidth="true" hidden="false" outlineLevel="0" max="5" min="5" style="1" width="16"/>
  </cols>
  <sheetData>
    <row r="1" customFormat="false" ht="109.5" hidden="false" customHeight="true" outlineLevel="0" collapsed="false">
      <c r="A1" s="21" t="s">
        <v>412</v>
      </c>
      <c r="B1" s="21"/>
      <c r="C1" s="21"/>
      <c r="D1" s="21"/>
      <c r="E1" s="21"/>
    </row>
    <row r="3" customFormat="false" ht="15" hidden="false" customHeight="true" outlineLevel="0" collapsed="false">
      <c r="A3" s="56" t="s">
        <v>311</v>
      </c>
      <c r="B3" s="56" t="s">
        <v>312</v>
      </c>
      <c r="C3" s="56" t="s">
        <v>413</v>
      </c>
      <c r="D3" s="56" t="s">
        <v>414</v>
      </c>
      <c r="E3" s="56" t="s">
        <v>415</v>
      </c>
    </row>
    <row r="4" customFormat="false" ht="15" hidden="false" customHeight="true" outlineLevel="0" collapsed="false">
      <c r="A4" s="1" t="n">
        <v>1</v>
      </c>
      <c r="B4" s="1" t="s">
        <v>319</v>
      </c>
      <c r="C4" s="82" t="n">
        <f aca="false">IF(1&lt;=6,Assumptions!$B$29,IF(1&lt;=12,Assumptions!$B$30,IF(1&lt;=24,Assumptions!$B$31,Assumptions!$B$32)))</f>
        <v>6</v>
      </c>
      <c r="D4" s="66" t="n">
        <f aca="false">C4*Assumptions!$B$22</f>
        <v>30000000</v>
      </c>
      <c r="E4" s="66" t="n">
        <f aca="false">IF(C4=0,0,D4/C4)</f>
        <v>5000000</v>
      </c>
    </row>
    <row r="5" customFormat="false" ht="15" hidden="false" customHeight="true" outlineLevel="0" collapsed="false">
      <c r="A5" s="1" t="n">
        <v>2</v>
      </c>
      <c r="B5" s="1" t="s">
        <v>320</v>
      </c>
      <c r="C5" s="82" t="n">
        <f aca="false">IF(2&lt;=6,Assumptions!$B$29,IF(2&lt;=12,Assumptions!$B$30,IF(2&lt;=24,Assumptions!$B$31,Assumptions!$B$32)))</f>
        <v>6</v>
      </c>
      <c r="D5" s="66" t="n">
        <f aca="false">C5*Assumptions!$B$22</f>
        <v>30000000</v>
      </c>
      <c r="E5" s="66" t="n">
        <f aca="false">IF(C5=0,0,D5/C5)</f>
        <v>5000000</v>
      </c>
    </row>
    <row r="6" customFormat="false" ht="15" hidden="false" customHeight="true" outlineLevel="0" collapsed="false">
      <c r="A6" s="1" t="n">
        <v>3</v>
      </c>
      <c r="B6" s="1" t="s">
        <v>321</v>
      </c>
      <c r="C6" s="82" t="n">
        <f aca="false">IF(3&lt;=6,Assumptions!$B$29,IF(3&lt;=12,Assumptions!$B$30,IF(3&lt;=24,Assumptions!$B$31,Assumptions!$B$32)))</f>
        <v>6</v>
      </c>
      <c r="D6" s="66" t="n">
        <f aca="false">C6*Assumptions!$B$22</f>
        <v>30000000</v>
      </c>
      <c r="E6" s="66" t="n">
        <f aca="false">IF(C6=0,0,D6/C6)</f>
        <v>5000000</v>
      </c>
    </row>
    <row r="7" customFormat="false" ht="15" hidden="false" customHeight="true" outlineLevel="0" collapsed="false">
      <c r="A7" s="1" t="n">
        <v>4</v>
      </c>
      <c r="B7" s="1" t="s">
        <v>322</v>
      </c>
      <c r="C7" s="82" t="n">
        <f aca="false">IF(4&lt;=6,Assumptions!$B$29,IF(4&lt;=12,Assumptions!$B$30,IF(4&lt;=24,Assumptions!$B$31,Assumptions!$B$32)))</f>
        <v>6</v>
      </c>
      <c r="D7" s="66" t="n">
        <f aca="false">C7*Assumptions!$B$22</f>
        <v>30000000</v>
      </c>
      <c r="E7" s="66" t="n">
        <f aca="false">IF(C7=0,0,D7/C7)</f>
        <v>5000000</v>
      </c>
    </row>
    <row r="8" customFormat="false" ht="15" hidden="false" customHeight="true" outlineLevel="0" collapsed="false">
      <c r="A8" s="1" t="n">
        <v>5</v>
      </c>
      <c r="B8" s="1" t="s">
        <v>323</v>
      </c>
      <c r="C8" s="82" t="n">
        <f aca="false">IF(5&lt;=6,Assumptions!$B$29,IF(5&lt;=12,Assumptions!$B$30,IF(5&lt;=24,Assumptions!$B$31,Assumptions!$B$32)))</f>
        <v>6</v>
      </c>
      <c r="D8" s="66" t="n">
        <f aca="false">C8*Assumptions!$B$22</f>
        <v>30000000</v>
      </c>
      <c r="E8" s="66" t="n">
        <f aca="false">IF(C8=0,0,D8/C8)</f>
        <v>5000000</v>
      </c>
    </row>
    <row r="9" customFormat="false" ht="15" hidden="false" customHeight="true" outlineLevel="0" collapsed="false">
      <c r="A9" s="1" t="n">
        <v>6</v>
      </c>
      <c r="B9" s="1" t="s">
        <v>324</v>
      </c>
      <c r="C9" s="82" t="n">
        <f aca="false">IF(6&lt;=6,Assumptions!$B$29,IF(6&lt;=12,Assumptions!$B$30,IF(6&lt;=24,Assumptions!$B$31,Assumptions!$B$32)))</f>
        <v>6</v>
      </c>
      <c r="D9" s="66" t="n">
        <f aca="false">C9*Assumptions!$B$22</f>
        <v>30000000</v>
      </c>
      <c r="E9" s="66" t="n">
        <f aca="false">IF(C9=0,0,D9/C9)</f>
        <v>5000000</v>
      </c>
    </row>
    <row r="10" customFormat="false" ht="15" hidden="false" customHeight="true" outlineLevel="0" collapsed="false">
      <c r="A10" s="1" t="n">
        <v>7</v>
      </c>
      <c r="B10" s="1" t="s">
        <v>325</v>
      </c>
      <c r="C10" s="82" t="n">
        <f aca="false">IF(7&lt;=6,Assumptions!$B$29,IF(7&lt;=12,Assumptions!$B$30,IF(7&lt;=24,Assumptions!$B$31,Assumptions!$B$32)))</f>
        <v>8</v>
      </c>
      <c r="D10" s="66" t="n">
        <f aca="false">C10*Assumptions!$B$22</f>
        <v>40000000</v>
      </c>
      <c r="E10" s="66" t="n">
        <f aca="false">IF(C10=0,0,D10/C10)</f>
        <v>5000000</v>
      </c>
    </row>
    <row r="11" customFormat="false" ht="15" hidden="false" customHeight="true" outlineLevel="0" collapsed="false">
      <c r="A11" s="1" t="n">
        <v>8</v>
      </c>
      <c r="B11" s="1" t="s">
        <v>326</v>
      </c>
      <c r="C11" s="82" t="n">
        <f aca="false">IF(8&lt;=6,Assumptions!$B$29,IF(8&lt;=12,Assumptions!$B$30,IF(8&lt;=24,Assumptions!$B$31,Assumptions!$B$32)))</f>
        <v>8</v>
      </c>
      <c r="D11" s="66" t="n">
        <f aca="false">C11*Assumptions!$B$22</f>
        <v>40000000</v>
      </c>
      <c r="E11" s="66" t="n">
        <f aca="false">IF(C11=0,0,D11/C11)</f>
        <v>5000000</v>
      </c>
    </row>
    <row r="12" customFormat="false" ht="15" hidden="false" customHeight="true" outlineLevel="0" collapsed="false">
      <c r="A12" s="1" t="n">
        <v>9</v>
      </c>
      <c r="B12" s="1" t="s">
        <v>327</v>
      </c>
      <c r="C12" s="82" t="n">
        <f aca="false">IF(9&lt;=6,Assumptions!$B$29,IF(9&lt;=12,Assumptions!$B$30,IF(9&lt;=24,Assumptions!$B$31,Assumptions!$B$32)))</f>
        <v>8</v>
      </c>
      <c r="D12" s="66" t="n">
        <f aca="false">C12*Assumptions!$B$22</f>
        <v>40000000</v>
      </c>
      <c r="E12" s="66" t="n">
        <f aca="false">IF(C12=0,0,D12/C12)</f>
        <v>5000000</v>
      </c>
    </row>
    <row r="13" customFormat="false" ht="15" hidden="false" customHeight="true" outlineLevel="0" collapsed="false">
      <c r="A13" s="1" t="n">
        <v>10</v>
      </c>
      <c r="B13" s="1" t="s">
        <v>328</v>
      </c>
      <c r="C13" s="82" t="n">
        <f aca="false">IF(10&lt;=6,Assumptions!$B$29,IF(10&lt;=12,Assumptions!$B$30,IF(10&lt;=24,Assumptions!$B$31,Assumptions!$B$32)))</f>
        <v>8</v>
      </c>
      <c r="D13" s="66" t="n">
        <f aca="false">C13*Assumptions!$B$22</f>
        <v>40000000</v>
      </c>
      <c r="E13" s="66" t="n">
        <f aca="false">IF(C13=0,0,D13/C13)</f>
        <v>5000000</v>
      </c>
    </row>
    <row r="14" customFormat="false" ht="15" hidden="false" customHeight="true" outlineLevel="0" collapsed="false">
      <c r="A14" s="1" t="n">
        <v>11</v>
      </c>
      <c r="B14" s="1" t="s">
        <v>329</v>
      </c>
      <c r="C14" s="82" t="n">
        <f aca="false">IF(11&lt;=6,Assumptions!$B$29,IF(11&lt;=12,Assumptions!$B$30,IF(11&lt;=24,Assumptions!$B$31,Assumptions!$B$32)))</f>
        <v>8</v>
      </c>
      <c r="D14" s="66" t="n">
        <f aca="false">C14*Assumptions!$B$22</f>
        <v>40000000</v>
      </c>
      <c r="E14" s="66" t="n">
        <f aca="false">IF(C14=0,0,D14/C14)</f>
        <v>5000000</v>
      </c>
    </row>
    <row r="15" customFormat="false" ht="15" hidden="false" customHeight="true" outlineLevel="0" collapsed="false">
      <c r="A15" s="1" t="n">
        <v>12</v>
      </c>
      <c r="B15" s="1" t="s">
        <v>330</v>
      </c>
      <c r="C15" s="82" t="n">
        <f aca="false">IF(12&lt;=6,Assumptions!$B$29,IF(12&lt;=12,Assumptions!$B$30,IF(12&lt;=24,Assumptions!$B$31,Assumptions!$B$32)))</f>
        <v>8</v>
      </c>
      <c r="D15" s="66" t="n">
        <f aca="false">C15*Assumptions!$B$22</f>
        <v>40000000</v>
      </c>
      <c r="E15" s="66" t="n">
        <f aca="false">IF(C15=0,0,D15/C15)</f>
        <v>5000000</v>
      </c>
    </row>
    <row r="16" customFormat="false" ht="15" hidden="false" customHeight="true" outlineLevel="0" collapsed="false">
      <c r="A16" s="1" t="n">
        <v>13</v>
      </c>
      <c r="B16" s="1" t="s">
        <v>331</v>
      </c>
      <c r="C16" s="82" t="n">
        <f aca="false">IF(13&lt;=6,Assumptions!$B$29,IF(13&lt;=12,Assumptions!$B$30,IF(13&lt;=24,Assumptions!$B$31,Assumptions!$B$32)))</f>
        <v>10</v>
      </c>
      <c r="D16" s="66" t="n">
        <f aca="false">C16*Assumptions!$B$22</f>
        <v>50000000</v>
      </c>
      <c r="E16" s="66" t="n">
        <f aca="false">IF(C16=0,0,D16/C16)</f>
        <v>5000000</v>
      </c>
    </row>
    <row r="17" customFormat="false" ht="15" hidden="false" customHeight="true" outlineLevel="0" collapsed="false">
      <c r="A17" s="1" t="n">
        <v>14</v>
      </c>
      <c r="B17" s="1" t="s">
        <v>332</v>
      </c>
      <c r="C17" s="82" t="n">
        <f aca="false">IF(14&lt;=6,Assumptions!$B$29,IF(14&lt;=12,Assumptions!$B$30,IF(14&lt;=24,Assumptions!$B$31,Assumptions!$B$32)))</f>
        <v>10</v>
      </c>
      <c r="D17" s="66" t="n">
        <f aca="false">C17*Assumptions!$B$22</f>
        <v>50000000</v>
      </c>
      <c r="E17" s="66" t="n">
        <f aca="false">IF(C17=0,0,D17/C17)</f>
        <v>5000000</v>
      </c>
    </row>
    <row r="18" customFormat="false" ht="15" hidden="false" customHeight="true" outlineLevel="0" collapsed="false">
      <c r="A18" s="1" t="n">
        <v>15</v>
      </c>
      <c r="B18" s="1" t="s">
        <v>333</v>
      </c>
      <c r="C18" s="82" t="n">
        <f aca="false">IF(15&lt;=6,Assumptions!$B$29,IF(15&lt;=12,Assumptions!$B$30,IF(15&lt;=24,Assumptions!$B$31,Assumptions!$B$32)))</f>
        <v>10</v>
      </c>
      <c r="D18" s="66" t="n">
        <f aca="false">C18*Assumptions!$B$22</f>
        <v>50000000</v>
      </c>
      <c r="E18" s="66" t="n">
        <f aca="false">IF(C18=0,0,D18/C18)</f>
        <v>5000000</v>
      </c>
    </row>
    <row r="19" customFormat="false" ht="15" hidden="false" customHeight="true" outlineLevel="0" collapsed="false">
      <c r="A19" s="1" t="n">
        <v>16</v>
      </c>
      <c r="B19" s="1" t="s">
        <v>334</v>
      </c>
      <c r="C19" s="82" t="n">
        <f aca="false">IF(16&lt;=6,Assumptions!$B$29,IF(16&lt;=12,Assumptions!$B$30,IF(16&lt;=24,Assumptions!$B$31,Assumptions!$B$32)))</f>
        <v>10</v>
      </c>
      <c r="D19" s="66" t="n">
        <f aca="false">C19*Assumptions!$B$22</f>
        <v>50000000</v>
      </c>
      <c r="E19" s="66" t="n">
        <f aca="false">IF(C19=0,0,D19/C19)</f>
        <v>5000000</v>
      </c>
    </row>
    <row r="20" customFormat="false" ht="15" hidden="false" customHeight="true" outlineLevel="0" collapsed="false">
      <c r="A20" s="1" t="n">
        <v>17</v>
      </c>
      <c r="B20" s="1" t="s">
        <v>335</v>
      </c>
      <c r="C20" s="82" t="n">
        <f aca="false">IF(17&lt;=6,Assumptions!$B$29,IF(17&lt;=12,Assumptions!$B$30,IF(17&lt;=24,Assumptions!$B$31,Assumptions!$B$32)))</f>
        <v>10</v>
      </c>
      <c r="D20" s="66" t="n">
        <f aca="false">C20*Assumptions!$B$22</f>
        <v>50000000</v>
      </c>
      <c r="E20" s="66" t="n">
        <f aca="false">IF(C20=0,0,D20/C20)</f>
        <v>5000000</v>
      </c>
    </row>
    <row r="21" customFormat="false" ht="15" hidden="false" customHeight="true" outlineLevel="0" collapsed="false">
      <c r="A21" s="1" t="n">
        <v>18</v>
      </c>
      <c r="B21" s="1" t="s">
        <v>336</v>
      </c>
      <c r="C21" s="82" t="n">
        <f aca="false">IF(18&lt;=6,Assumptions!$B$29,IF(18&lt;=12,Assumptions!$B$30,IF(18&lt;=24,Assumptions!$B$31,Assumptions!$B$32)))</f>
        <v>10</v>
      </c>
      <c r="D21" s="66" t="n">
        <f aca="false">C21*Assumptions!$B$22</f>
        <v>50000000</v>
      </c>
      <c r="E21" s="66" t="n">
        <f aca="false">IF(C21=0,0,D21/C21)</f>
        <v>5000000</v>
      </c>
    </row>
    <row r="22" customFormat="false" ht="15" hidden="false" customHeight="true" outlineLevel="0" collapsed="false">
      <c r="A22" s="1" t="n">
        <v>19</v>
      </c>
      <c r="B22" s="1" t="s">
        <v>337</v>
      </c>
      <c r="C22" s="82" t="n">
        <f aca="false">IF(19&lt;=6,Assumptions!$B$29,IF(19&lt;=12,Assumptions!$B$30,IF(19&lt;=24,Assumptions!$B$31,Assumptions!$B$32)))</f>
        <v>10</v>
      </c>
      <c r="D22" s="66" t="n">
        <f aca="false">C22*Assumptions!$B$22</f>
        <v>50000000</v>
      </c>
      <c r="E22" s="66" t="n">
        <f aca="false">IF(C22=0,0,D22/C22)</f>
        <v>5000000</v>
      </c>
    </row>
    <row r="23" customFormat="false" ht="15" hidden="false" customHeight="true" outlineLevel="0" collapsed="false">
      <c r="A23" s="1" t="n">
        <v>20</v>
      </c>
      <c r="B23" s="1" t="s">
        <v>338</v>
      </c>
      <c r="C23" s="82" t="n">
        <f aca="false">IF(20&lt;=6,Assumptions!$B$29,IF(20&lt;=12,Assumptions!$B$30,IF(20&lt;=24,Assumptions!$B$31,Assumptions!$B$32)))</f>
        <v>10</v>
      </c>
      <c r="D23" s="66" t="n">
        <f aca="false">C23*Assumptions!$B$22</f>
        <v>50000000</v>
      </c>
      <c r="E23" s="66" t="n">
        <f aca="false">IF(C23=0,0,D23/C23)</f>
        <v>5000000</v>
      </c>
    </row>
    <row r="24" customFormat="false" ht="15" hidden="false" customHeight="true" outlineLevel="0" collapsed="false">
      <c r="A24" s="1" t="n">
        <v>21</v>
      </c>
      <c r="B24" s="1" t="s">
        <v>339</v>
      </c>
      <c r="C24" s="82" t="n">
        <f aca="false">IF(21&lt;=6,Assumptions!$B$29,IF(21&lt;=12,Assumptions!$B$30,IF(21&lt;=24,Assumptions!$B$31,Assumptions!$B$32)))</f>
        <v>10</v>
      </c>
      <c r="D24" s="66" t="n">
        <f aca="false">C24*Assumptions!$B$22</f>
        <v>50000000</v>
      </c>
      <c r="E24" s="66" t="n">
        <f aca="false">IF(C24=0,0,D24/C24)</f>
        <v>5000000</v>
      </c>
    </row>
    <row r="25" customFormat="false" ht="15" hidden="false" customHeight="true" outlineLevel="0" collapsed="false">
      <c r="A25" s="1" t="n">
        <v>22</v>
      </c>
      <c r="B25" s="1" t="s">
        <v>340</v>
      </c>
      <c r="C25" s="82" t="n">
        <f aca="false">IF(22&lt;=6,Assumptions!$B$29,IF(22&lt;=12,Assumptions!$B$30,IF(22&lt;=24,Assumptions!$B$31,Assumptions!$B$32)))</f>
        <v>10</v>
      </c>
      <c r="D25" s="66" t="n">
        <f aca="false">C25*Assumptions!$B$22</f>
        <v>50000000</v>
      </c>
      <c r="E25" s="66" t="n">
        <f aca="false">IF(C25=0,0,D25/C25)</f>
        <v>5000000</v>
      </c>
    </row>
    <row r="26" customFormat="false" ht="15" hidden="false" customHeight="true" outlineLevel="0" collapsed="false">
      <c r="A26" s="1" t="n">
        <v>23</v>
      </c>
      <c r="B26" s="1" t="s">
        <v>341</v>
      </c>
      <c r="C26" s="82" t="n">
        <f aca="false">IF(23&lt;=6,Assumptions!$B$29,IF(23&lt;=12,Assumptions!$B$30,IF(23&lt;=24,Assumptions!$B$31,Assumptions!$B$32)))</f>
        <v>10</v>
      </c>
      <c r="D26" s="66" t="n">
        <f aca="false">C26*Assumptions!$B$22</f>
        <v>50000000</v>
      </c>
      <c r="E26" s="66" t="n">
        <f aca="false">IF(C26=0,0,D26/C26)</f>
        <v>5000000</v>
      </c>
    </row>
    <row r="27" customFormat="false" ht="15" hidden="false" customHeight="true" outlineLevel="0" collapsed="false">
      <c r="A27" s="1" t="n">
        <v>24</v>
      </c>
      <c r="B27" s="1" t="s">
        <v>342</v>
      </c>
      <c r="C27" s="82" t="n">
        <f aca="false">IF(24&lt;=6,Assumptions!$B$29,IF(24&lt;=12,Assumptions!$B$30,IF(24&lt;=24,Assumptions!$B$31,Assumptions!$B$32)))</f>
        <v>10</v>
      </c>
      <c r="D27" s="66" t="n">
        <f aca="false">C27*Assumptions!$B$22</f>
        <v>50000000</v>
      </c>
      <c r="E27" s="66" t="n">
        <f aca="false">IF(C27=0,0,D27/C27)</f>
        <v>5000000</v>
      </c>
    </row>
    <row r="28" customFormat="false" ht="15" hidden="false" customHeight="true" outlineLevel="0" collapsed="false">
      <c r="A28" s="1" t="n">
        <v>25</v>
      </c>
      <c r="B28" s="1" t="s">
        <v>343</v>
      </c>
      <c r="C28" s="82" t="n">
        <f aca="false">IF(25&lt;=6,Assumptions!$B$29,IF(25&lt;=12,Assumptions!$B$30,IF(25&lt;=24,Assumptions!$B$31,Assumptions!$B$32)))</f>
        <v>14</v>
      </c>
      <c r="D28" s="66" t="n">
        <f aca="false">C28*Assumptions!$B$22</f>
        <v>70000000</v>
      </c>
      <c r="E28" s="66" t="n">
        <f aca="false">IF(C28=0,0,D28/C28)</f>
        <v>5000000</v>
      </c>
    </row>
    <row r="29" customFormat="false" ht="15" hidden="false" customHeight="true" outlineLevel="0" collapsed="false">
      <c r="A29" s="1" t="n">
        <v>26</v>
      </c>
      <c r="B29" s="1" t="s">
        <v>344</v>
      </c>
      <c r="C29" s="82" t="n">
        <f aca="false">IF(26&lt;=6,Assumptions!$B$29,IF(26&lt;=12,Assumptions!$B$30,IF(26&lt;=24,Assumptions!$B$31,Assumptions!$B$32)))</f>
        <v>14</v>
      </c>
      <c r="D29" s="66" t="n">
        <f aca="false">C29*Assumptions!$B$22</f>
        <v>70000000</v>
      </c>
      <c r="E29" s="66" t="n">
        <f aca="false">IF(C29=0,0,D29/C29)</f>
        <v>5000000</v>
      </c>
    </row>
    <row r="30" customFormat="false" ht="15" hidden="false" customHeight="true" outlineLevel="0" collapsed="false">
      <c r="A30" s="1" t="n">
        <v>27</v>
      </c>
      <c r="B30" s="1" t="s">
        <v>345</v>
      </c>
      <c r="C30" s="82" t="n">
        <f aca="false">IF(27&lt;=6,Assumptions!$B$29,IF(27&lt;=12,Assumptions!$B$30,IF(27&lt;=24,Assumptions!$B$31,Assumptions!$B$32)))</f>
        <v>14</v>
      </c>
      <c r="D30" s="66" t="n">
        <f aca="false">C30*Assumptions!$B$22</f>
        <v>70000000</v>
      </c>
      <c r="E30" s="66" t="n">
        <f aca="false">IF(C30=0,0,D30/C30)</f>
        <v>5000000</v>
      </c>
    </row>
    <row r="31" customFormat="false" ht="15" hidden="false" customHeight="true" outlineLevel="0" collapsed="false">
      <c r="A31" s="1" t="n">
        <v>28</v>
      </c>
      <c r="B31" s="1" t="s">
        <v>346</v>
      </c>
      <c r="C31" s="82" t="n">
        <f aca="false">IF(28&lt;=6,Assumptions!$B$29,IF(28&lt;=12,Assumptions!$B$30,IF(28&lt;=24,Assumptions!$B$31,Assumptions!$B$32)))</f>
        <v>14</v>
      </c>
      <c r="D31" s="66" t="n">
        <f aca="false">C31*Assumptions!$B$22</f>
        <v>70000000</v>
      </c>
      <c r="E31" s="66" t="n">
        <f aca="false">IF(C31=0,0,D31/C31)</f>
        <v>5000000</v>
      </c>
    </row>
    <row r="32" customFormat="false" ht="15" hidden="false" customHeight="true" outlineLevel="0" collapsed="false">
      <c r="A32" s="1" t="n">
        <v>29</v>
      </c>
      <c r="B32" s="1" t="s">
        <v>347</v>
      </c>
      <c r="C32" s="82" t="n">
        <f aca="false">IF(29&lt;=6,Assumptions!$B$29,IF(29&lt;=12,Assumptions!$B$30,IF(29&lt;=24,Assumptions!$B$31,Assumptions!$B$32)))</f>
        <v>14</v>
      </c>
      <c r="D32" s="66" t="n">
        <f aca="false">C32*Assumptions!$B$22</f>
        <v>70000000</v>
      </c>
      <c r="E32" s="66" t="n">
        <f aca="false">IF(C32=0,0,D32/C32)</f>
        <v>5000000</v>
      </c>
    </row>
    <row r="33" customFormat="false" ht="15" hidden="false" customHeight="true" outlineLevel="0" collapsed="false">
      <c r="A33" s="1" t="n">
        <v>30</v>
      </c>
      <c r="B33" s="1" t="s">
        <v>348</v>
      </c>
      <c r="C33" s="82" t="n">
        <f aca="false">IF(30&lt;=6,Assumptions!$B$29,IF(30&lt;=12,Assumptions!$B$30,IF(30&lt;=24,Assumptions!$B$31,Assumptions!$B$32)))</f>
        <v>14</v>
      </c>
      <c r="D33" s="66" t="n">
        <f aca="false">C33*Assumptions!$B$22</f>
        <v>70000000</v>
      </c>
      <c r="E33" s="66" t="n">
        <f aca="false">IF(C33=0,0,D33/C33)</f>
        <v>5000000</v>
      </c>
    </row>
    <row r="34" customFormat="false" ht="15" hidden="false" customHeight="true" outlineLevel="0" collapsed="false">
      <c r="A34" s="1" t="n">
        <v>31</v>
      </c>
      <c r="B34" s="1" t="s">
        <v>349</v>
      </c>
      <c r="C34" s="82" t="n">
        <f aca="false">IF(31&lt;=6,Assumptions!$B$29,IF(31&lt;=12,Assumptions!$B$30,IF(31&lt;=24,Assumptions!$B$31,Assumptions!$B$32)))</f>
        <v>14</v>
      </c>
      <c r="D34" s="66" t="n">
        <f aca="false">C34*Assumptions!$B$22</f>
        <v>70000000</v>
      </c>
      <c r="E34" s="66" t="n">
        <f aca="false">IF(C34=0,0,D34/C34)</f>
        <v>5000000</v>
      </c>
    </row>
    <row r="35" customFormat="false" ht="15" hidden="false" customHeight="true" outlineLevel="0" collapsed="false">
      <c r="A35" s="1" t="n">
        <v>32</v>
      </c>
      <c r="B35" s="1" t="s">
        <v>350</v>
      </c>
      <c r="C35" s="82" t="n">
        <f aca="false">IF(32&lt;=6,Assumptions!$B$29,IF(32&lt;=12,Assumptions!$B$30,IF(32&lt;=24,Assumptions!$B$31,Assumptions!$B$32)))</f>
        <v>14</v>
      </c>
      <c r="D35" s="66" t="n">
        <f aca="false">C35*Assumptions!$B$22</f>
        <v>70000000</v>
      </c>
      <c r="E35" s="66" t="n">
        <f aca="false">IF(C35=0,0,D35/C35)</f>
        <v>5000000</v>
      </c>
    </row>
    <row r="36" customFormat="false" ht="15" hidden="false" customHeight="true" outlineLevel="0" collapsed="false">
      <c r="A36" s="1" t="n">
        <v>33</v>
      </c>
      <c r="B36" s="1" t="s">
        <v>351</v>
      </c>
      <c r="C36" s="82" t="n">
        <f aca="false">IF(33&lt;=6,Assumptions!$B$29,IF(33&lt;=12,Assumptions!$B$30,IF(33&lt;=24,Assumptions!$B$31,Assumptions!$B$32)))</f>
        <v>14</v>
      </c>
      <c r="D36" s="66" t="n">
        <f aca="false">C36*Assumptions!$B$22</f>
        <v>70000000</v>
      </c>
      <c r="E36" s="66" t="n">
        <f aca="false">IF(C36=0,0,D36/C36)</f>
        <v>5000000</v>
      </c>
    </row>
    <row r="37" customFormat="false" ht="15" hidden="false" customHeight="true" outlineLevel="0" collapsed="false">
      <c r="A37" s="1" t="n">
        <v>34</v>
      </c>
      <c r="B37" s="1" t="s">
        <v>352</v>
      </c>
      <c r="C37" s="82" t="n">
        <f aca="false">IF(34&lt;=6,Assumptions!$B$29,IF(34&lt;=12,Assumptions!$B$30,IF(34&lt;=24,Assumptions!$B$31,Assumptions!$B$32)))</f>
        <v>14</v>
      </c>
      <c r="D37" s="66" t="n">
        <f aca="false">C37*Assumptions!$B$22</f>
        <v>70000000</v>
      </c>
      <c r="E37" s="66" t="n">
        <f aca="false">IF(C37=0,0,D37/C37)</f>
        <v>5000000</v>
      </c>
    </row>
    <row r="38" customFormat="false" ht="15" hidden="false" customHeight="true" outlineLevel="0" collapsed="false">
      <c r="A38" s="1" t="n">
        <v>35</v>
      </c>
      <c r="B38" s="1" t="s">
        <v>353</v>
      </c>
      <c r="C38" s="82" t="n">
        <f aca="false">IF(35&lt;=6,Assumptions!$B$29,IF(35&lt;=12,Assumptions!$B$30,IF(35&lt;=24,Assumptions!$B$31,Assumptions!$B$32)))</f>
        <v>14</v>
      </c>
      <c r="D38" s="66" t="n">
        <f aca="false">C38*Assumptions!$B$22</f>
        <v>70000000</v>
      </c>
      <c r="E38" s="66" t="n">
        <f aca="false">IF(C38=0,0,D38/C38)</f>
        <v>5000000</v>
      </c>
    </row>
    <row r="39" customFormat="false" ht="15" hidden="false" customHeight="true" outlineLevel="0" collapsed="false">
      <c r="A39" s="1" t="n">
        <v>36</v>
      </c>
      <c r="B39" s="1" t="s">
        <v>354</v>
      </c>
      <c r="C39" s="82" t="n">
        <f aca="false">IF(36&lt;=6,Assumptions!$B$29,IF(36&lt;=12,Assumptions!$B$30,IF(36&lt;=24,Assumptions!$B$31,Assumptions!$B$32)))</f>
        <v>14</v>
      </c>
      <c r="D39" s="66" t="n">
        <f aca="false">C39*Assumptions!$B$22</f>
        <v>70000000</v>
      </c>
      <c r="E39" s="66" t="n">
        <f aca="false">IF(C39=0,0,D39/C39)</f>
        <v>5000000</v>
      </c>
    </row>
    <row r="40" customFormat="false" ht="15" hidden="false" customHeight="true" outlineLevel="0" collapsed="false">
      <c r="A40" s="58" t="s">
        <v>416</v>
      </c>
      <c r="D40" s="68" t="n">
        <f aca="false">SUM(D4:D15)</f>
        <v>420000000</v>
      </c>
    </row>
    <row r="41" customFormat="false" ht="15" hidden="false" customHeight="true" outlineLevel="0" collapsed="false">
      <c r="A41" s="58" t="s">
        <v>417</v>
      </c>
      <c r="D41" s="68" t="n">
        <f aca="false">SUM(D16:D27)</f>
        <v>600000000</v>
      </c>
    </row>
    <row r="42" customFormat="false" ht="15" hidden="false" customHeight="true" outlineLevel="0" collapsed="false">
      <c r="A42" s="58" t="s">
        <v>418</v>
      </c>
      <c r="D42" s="68" t="n">
        <f aca="false">SUM(D28:D39)</f>
        <v>840000000</v>
      </c>
    </row>
    <row r="43" customFormat="false" ht="15" hidden="false" customHeight="true" outlineLevel="0" collapsed="false">
      <c r="A43" s="58" t="s">
        <v>419</v>
      </c>
      <c r="D43" s="71" t="n">
        <f aca="false">D40+D41+D42</f>
        <v>1860000000</v>
      </c>
    </row>
  </sheetData>
  <mergeCells count="1">
    <mergeCell ref="A1:E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6796875" defaultRowHeight="15" customHeight="false" zeroHeight="false" outlineLevelRow="0" outlineLevelCol="0"/>
  <cols>
    <col collapsed="false" customWidth="true" hidden="false" outlineLevel="0" max="1" min="1" style="1" width="10"/>
    <col collapsed="false" customWidth="true" hidden="false" outlineLevel="0" max="7" min="2" style="1" width="18"/>
    <col collapsed="false" customWidth="true" hidden="false" outlineLevel="0" max="8" min="8" style="1" width="14"/>
  </cols>
  <sheetData>
    <row r="1" customFormat="false" ht="109.5" hidden="false" customHeight="true" outlineLevel="0" collapsed="false">
      <c r="A1" s="21" t="s">
        <v>420</v>
      </c>
      <c r="B1" s="21"/>
      <c r="C1" s="21"/>
      <c r="D1" s="21"/>
      <c r="E1" s="21"/>
      <c r="F1" s="21"/>
      <c r="G1" s="21"/>
      <c r="H1" s="21"/>
    </row>
    <row r="3" customFormat="false" ht="15" hidden="false" customHeight="true" outlineLevel="0" collapsed="false">
      <c r="A3" s="56" t="s">
        <v>311</v>
      </c>
      <c r="B3" s="56" t="s">
        <v>312</v>
      </c>
      <c r="C3" s="56" t="s">
        <v>421</v>
      </c>
      <c r="D3" s="56" t="s">
        <v>422</v>
      </c>
      <c r="E3" s="56" t="s">
        <v>423</v>
      </c>
      <c r="F3" s="56" t="s">
        <v>424</v>
      </c>
      <c r="G3" s="56" t="s">
        <v>425</v>
      </c>
      <c r="H3" s="56" t="s">
        <v>426</v>
      </c>
    </row>
    <row r="4" customFormat="false" ht="15" hidden="false" customHeight="true" outlineLevel="0" collapsed="false">
      <c r="A4" s="1" t="n">
        <v>1</v>
      </c>
      <c r="B4" s="1" t="s">
        <v>319</v>
      </c>
      <c r="C4" s="65" t="n">
        <f aca="false">Assumptions!$B$35</f>
        <v>100000000</v>
      </c>
      <c r="D4" s="83" t="n">
        <f aca="false">IF(1=Assumptions!$B$37,Assumptions!$B$36,0)</f>
        <v>0</v>
      </c>
      <c r="E4" s="83" t="n">
        <f aca="false">SUMIFS(Assumptions!$B$63:$B$84,Assumptions!$C$63:$C$84,"M1",Assumptions!$E$63:$E$84,"&lt;&gt;보증·대출")</f>
        <v>70000000</v>
      </c>
      <c r="F4" s="84" t="n">
        <f aca="false">PnL!B14</f>
        <v>-30330000</v>
      </c>
      <c r="G4" s="79" t="n">
        <f aca="false">C4+D4+E4+F4</f>
        <v>139670000</v>
      </c>
      <c r="H4" s="85" t="n">
        <f aca="false">G4/Assumptions!$B$4</f>
        <v>99764.2857142857</v>
      </c>
    </row>
    <row r="5" customFormat="false" ht="15" hidden="false" customHeight="true" outlineLevel="0" collapsed="false">
      <c r="A5" s="1" t="n">
        <v>2</v>
      </c>
      <c r="B5" s="1" t="s">
        <v>320</v>
      </c>
      <c r="C5" s="66" t="n">
        <f aca="false">G4</f>
        <v>139670000</v>
      </c>
      <c r="D5" s="83" t="n">
        <f aca="false">IF(2=Assumptions!$B$37,Assumptions!$B$36,0)</f>
        <v>0</v>
      </c>
      <c r="E5" s="83" t="n">
        <f aca="false">SUMIFS(Assumptions!$B$63:$B$84,Assumptions!$C$63:$C$84,"M2",Assumptions!$E$63:$E$84,"&lt;&gt;보증·대출")</f>
        <v>50000000</v>
      </c>
      <c r="F5" s="84" t="n">
        <f aca="false">PnL!C14</f>
        <v>-30412500</v>
      </c>
      <c r="G5" s="79" t="n">
        <f aca="false">C5+D5+E5+F5</f>
        <v>159257500</v>
      </c>
      <c r="H5" s="85" t="n">
        <f aca="false">G5/Assumptions!$B$4</f>
        <v>113755.357142857</v>
      </c>
    </row>
    <row r="6" customFormat="false" ht="15" hidden="false" customHeight="true" outlineLevel="0" collapsed="false">
      <c r="A6" s="1" t="n">
        <v>3</v>
      </c>
      <c r="B6" s="1" t="s">
        <v>321</v>
      </c>
      <c r="C6" s="66" t="n">
        <f aca="false">G5</f>
        <v>159257500</v>
      </c>
      <c r="D6" s="83" t="n">
        <f aca="false">IF(3=Assumptions!$B$37,Assumptions!$B$36,0)</f>
        <v>1500000000</v>
      </c>
      <c r="E6" s="83" t="n">
        <f aca="false">SUMIFS(Assumptions!$B$63:$B$84,Assumptions!$C$63:$C$84,"M3",Assumptions!$E$63:$E$84,"&lt;&gt;보증·대출")</f>
        <v>100000000</v>
      </c>
      <c r="F6" s="84" t="n">
        <f aca="false">PnL!D14</f>
        <v>-30515625</v>
      </c>
      <c r="G6" s="79" t="n">
        <f aca="false">C6+D6+E6+F6</f>
        <v>1728741875</v>
      </c>
      <c r="H6" s="85" t="n">
        <f aca="false">G6/Assumptions!$B$4</f>
        <v>1234815.625</v>
      </c>
    </row>
    <row r="7" customFormat="false" ht="15" hidden="false" customHeight="true" outlineLevel="0" collapsed="false">
      <c r="A7" s="1" t="n">
        <v>4</v>
      </c>
      <c r="B7" s="1" t="s">
        <v>322</v>
      </c>
      <c r="C7" s="66" t="n">
        <f aca="false">G6</f>
        <v>1728741875</v>
      </c>
      <c r="D7" s="83" t="n">
        <f aca="false">IF(4=Assumptions!$B$37,Assumptions!$B$36,0)</f>
        <v>0</v>
      </c>
      <c r="E7" s="83" t="n">
        <f aca="false">SUMIFS(Assumptions!$B$63:$B$84,Assumptions!$C$63:$C$84,"M4",Assumptions!$E$63:$E$84,"&lt;&gt;보증·대출")</f>
        <v>200000000</v>
      </c>
      <c r="F7" s="84" t="n">
        <f aca="false">PnL!E14</f>
        <v>-30644531.25</v>
      </c>
      <c r="G7" s="79" t="n">
        <f aca="false">C7+D7+E7+F7</f>
        <v>1898097343.75</v>
      </c>
      <c r="H7" s="85" t="n">
        <f aca="false">G7/Assumptions!$B$4</f>
        <v>1355783.81696429</v>
      </c>
    </row>
    <row r="8" customFormat="false" ht="15" hidden="false" customHeight="true" outlineLevel="0" collapsed="false">
      <c r="A8" s="1" t="n">
        <v>5</v>
      </c>
      <c r="B8" s="1" t="s">
        <v>323</v>
      </c>
      <c r="C8" s="66" t="n">
        <f aca="false">G7</f>
        <v>1898097343.75</v>
      </c>
      <c r="D8" s="83" t="n">
        <f aca="false">IF(5=Assumptions!$B$37,Assumptions!$B$36,0)</f>
        <v>0</v>
      </c>
      <c r="E8" s="83" t="n">
        <f aca="false">SUMIFS(Assumptions!$B$63:$B$84,Assumptions!$C$63:$C$84,"M5",Assumptions!$E$63:$E$84,"&lt;&gt;보증·대출")</f>
        <v>70000000</v>
      </c>
      <c r="F8" s="84" t="n">
        <f aca="false">PnL!F14</f>
        <v>-30805664.0625</v>
      </c>
      <c r="G8" s="79" t="n">
        <f aca="false">C8+D8+E8+F8</f>
        <v>1937291679.6875</v>
      </c>
      <c r="H8" s="85" t="n">
        <f aca="false">G8/Assumptions!$B$4</f>
        <v>1383779.77120536</v>
      </c>
    </row>
    <row r="9" customFormat="false" ht="15" hidden="false" customHeight="true" outlineLevel="0" collapsed="false">
      <c r="A9" s="1" t="n">
        <v>6</v>
      </c>
      <c r="B9" s="1" t="s">
        <v>324</v>
      </c>
      <c r="C9" s="66" t="n">
        <f aca="false">G8</f>
        <v>1937291679.6875</v>
      </c>
      <c r="D9" s="83" t="n">
        <f aca="false">IF(6=Assumptions!$B$37,Assumptions!$B$36,0)</f>
        <v>0</v>
      </c>
      <c r="E9" s="83" t="n">
        <f aca="false">SUMIFS(Assumptions!$B$63:$B$84,Assumptions!$C$63:$C$84,"M6",Assumptions!$E$63:$E$84,"&lt;&gt;보증·대출")</f>
        <v>163200000</v>
      </c>
      <c r="F9" s="84" t="n">
        <f aca="false">PnL!G14</f>
        <v>-31007080.078125</v>
      </c>
      <c r="G9" s="79" t="n">
        <f aca="false">C9+D9+E9+F9</f>
        <v>2069484599.60938</v>
      </c>
      <c r="H9" s="85" t="n">
        <f aca="false">G9/Assumptions!$B$4</f>
        <v>1478203.28543527</v>
      </c>
    </row>
    <row r="10" customFormat="false" ht="15" hidden="false" customHeight="true" outlineLevel="0" collapsed="false">
      <c r="A10" s="1" t="n">
        <v>7</v>
      </c>
      <c r="B10" s="1" t="s">
        <v>325</v>
      </c>
      <c r="C10" s="66" t="n">
        <f aca="false">G9</f>
        <v>2069484599.60938</v>
      </c>
      <c r="D10" s="83" t="n">
        <f aca="false">IF(7=Assumptions!$B$37,Assumptions!$B$36,0)</f>
        <v>0</v>
      </c>
      <c r="E10" s="83" t="n">
        <f aca="false">SUMIFS(Assumptions!$B$63:$B$84,Assumptions!$C$63:$C$84,"M7",Assumptions!$E$63:$E$84,"&lt;&gt;보증·대출")</f>
        <v>200000000</v>
      </c>
      <c r="F10" s="84" t="n">
        <f aca="false">PnL!H14</f>
        <v>-41188354.4921875</v>
      </c>
      <c r="G10" s="79" t="n">
        <f aca="false">C10+D10+E10+F10</f>
        <v>2228296245.11719</v>
      </c>
      <c r="H10" s="85" t="n">
        <f aca="false">G10/Assumptions!$B$4</f>
        <v>1591640.17508371</v>
      </c>
    </row>
    <row r="11" customFormat="false" ht="15" hidden="false" customHeight="true" outlineLevel="0" collapsed="false">
      <c r="A11" s="1" t="n">
        <v>8</v>
      </c>
      <c r="B11" s="1" t="s">
        <v>326</v>
      </c>
      <c r="C11" s="66" t="n">
        <f aca="false">G10</f>
        <v>2228296245.11719</v>
      </c>
      <c r="D11" s="83" t="n">
        <f aca="false">IF(8=Assumptions!$B$37,Assumptions!$B$36,0)</f>
        <v>0</v>
      </c>
      <c r="E11" s="83" t="n">
        <f aca="false">SUMIFS(Assumptions!$B$63:$B$84,Assumptions!$C$63:$C$84,"M8",Assumptions!$E$63:$E$84,"&lt;&gt;보증·대출")</f>
        <v>50000000</v>
      </c>
      <c r="F11" s="84" t="n">
        <f aca="false">PnL!I14</f>
        <v>-41402258.3007813</v>
      </c>
      <c r="G11" s="79" t="n">
        <f aca="false">C11+D11+E11+F11</f>
        <v>2236893986.81641</v>
      </c>
      <c r="H11" s="85" t="n">
        <f aca="false">G11/Assumptions!$B$4</f>
        <v>1597781.41915458</v>
      </c>
    </row>
    <row r="12" customFormat="false" ht="15" hidden="false" customHeight="true" outlineLevel="0" collapsed="false">
      <c r="A12" s="1" t="n">
        <v>9</v>
      </c>
      <c r="B12" s="1" t="s">
        <v>327</v>
      </c>
      <c r="C12" s="66" t="n">
        <f aca="false">G11</f>
        <v>2236893986.81641</v>
      </c>
      <c r="D12" s="83" t="n">
        <f aca="false">IF(9=Assumptions!$B$37,Assumptions!$B$36,0)</f>
        <v>0</v>
      </c>
      <c r="E12" s="83" t="n">
        <f aca="false">SUMIFS(Assumptions!$B$63:$B$84,Assumptions!$C$63:$C$84,"M9",Assumptions!$E$63:$E$84,"&lt;&gt;보증·대출")</f>
        <v>30000000</v>
      </c>
      <c r="F12" s="84" t="n">
        <f aca="false">PnL!J14</f>
        <v>-41654664.7949219</v>
      </c>
      <c r="G12" s="79" t="n">
        <f aca="false">C12+D12+E12+F12</f>
        <v>2225239322.02148</v>
      </c>
      <c r="H12" s="85" t="n">
        <f aca="false">G12/Assumptions!$B$4</f>
        <v>1589456.65858677</v>
      </c>
    </row>
    <row r="13" customFormat="false" ht="15" hidden="false" customHeight="true" outlineLevel="0" collapsed="false">
      <c r="A13" s="1" t="n">
        <v>10</v>
      </c>
      <c r="B13" s="1" t="s">
        <v>328</v>
      </c>
      <c r="C13" s="66" t="n">
        <f aca="false">G12</f>
        <v>2225239322.02148</v>
      </c>
      <c r="D13" s="83" t="n">
        <f aca="false">IF(10=Assumptions!$B$37,Assumptions!$B$36,0)</f>
        <v>0</v>
      </c>
      <c r="E13" s="83" t="n">
        <f aca="false">SUMIFS(Assumptions!$B$63:$B$84,Assumptions!$C$63:$C$84,"M10",Assumptions!$E$63:$E$84,"&lt;&gt;보증·대출")</f>
        <v>0</v>
      </c>
      <c r="F13" s="84" t="n">
        <f aca="false">PnL!K14</f>
        <v>-41952504.4580078</v>
      </c>
      <c r="G13" s="79" t="n">
        <f aca="false">C13+D13+E13+F13</f>
        <v>2183286817.56348</v>
      </c>
      <c r="H13" s="85" t="n">
        <f aca="false">G13/Assumptions!$B$4</f>
        <v>1559490.58397391</v>
      </c>
    </row>
    <row r="14" customFormat="false" ht="15" hidden="false" customHeight="true" outlineLevel="0" collapsed="false">
      <c r="A14" s="1" t="n">
        <v>11</v>
      </c>
      <c r="B14" s="1" t="s">
        <v>329</v>
      </c>
      <c r="C14" s="66" t="n">
        <f aca="false">G13</f>
        <v>2183286817.56348</v>
      </c>
      <c r="D14" s="83" t="n">
        <f aca="false">IF(11=Assumptions!$B$37,Assumptions!$B$36,0)</f>
        <v>0</v>
      </c>
      <c r="E14" s="83" t="n">
        <f aca="false">SUMIFS(Assumptions!$B$63:$B$84,Assumptions!$C$63:$C$84,"M11",Assumptions!$E$63:$E$84,"&lt;&gt;보증·대출")</f>
        <v>150000000</v>
      </c>
      <c r="F14" s="84" t="n">
        <f aca="false">PnL!L14</f>
        <v>-42303955.2604492</v>
      </c>
      <c r="G14" s="79" t="n">
        <f aca="false">C14+D14+E14+F14</f>
        <v>2290982862.30303</v>
      </c>
      <c r="H14" s="85" t="n">
        <f aca="false">G14/Assumptions!$B$4</f>
        <v>1636416.33021645</v>
      </c>
    </row>
    <row r="15" customFormat="false" ht="15" hidden="false" customHeight="true" outlineLevel="0" collapsed="false">
      <c r="A15" s="1" t="n">
        <v>12</v>
      </c>
      <c r="B15" s="1" t="s">
        <v>330</v>
      </c>
      <c r="C15" s="66" t="n">
        <f aca="false">G14</f>
        <v>2290982862.30303</v>
      </c>
      <c r="D15" s="83" t="n">
        <f aca="false">IF(12=Assumptions!$B$37,Assumptions!$B$36,0)</f>
        <v>0</v>
      </c>
      <c r="E15" s="83" t="n">
        <f aca="false">SUMIFS(Assumptions!$B$63:$B$84,Assumptions!$C$63:$C$84,"M12",Assumptions!$E$63:$E$84,"&lt;&gt;보증·대출")</f>
        <v>800000000</v>
      </c>
      <c r="F15" s="84" t="n">
        <f aca="false">PnL!M14</f>
        <v>-42718667.2073301</v>
      </c>
      <c r="G15" s="79" t="n">
        <f aca="false">C15+D15+E15+F15</f>
        <v>3048264195.0957</v>
      </c>
      <c r="H15" s="85" t="n">
        <f aca="false">G15/Assumptions!$B$4</f>
        <v>2177331.5679255</v>
      </c>
    </row>
    <row r="16" customFormat="false" ht="15" hidden="false" customHeight="true" outlineLevel="0" collapsed="false">
      <c r="A16" s="1" t="n">
        <v>13</v>
      </c>
      <c r="B16" s="1" t="s">
        <v>331</v>
      </c>
      <c r="C16" s="66" t="n">
        <f aca="false">G15</f>
        <v>3048264195.0957</v>
      </c>
      <c r="D16" s="83" t="n">
        <f aca="false">IF(13=Assumptions!$B$37,Assumptions!$B$36,0)</f>
        <v>0</v>
      </c>
      <c r="E16" s="83" t="n">
        <f aca="false">SUMIFS(Assumptions!$B$63:$B$84,Assumptions!$C$63:$C$84,"M13",Assumptions!$E$63:$E$84,"&lt;&gt;보증·대출")</f>
        <v>0</v>
      </c>
      <c r="F16" s="84" t="n">
        <f aca="false">PnL!N14</f>
        <v>-49169570.7439428</v>
      </c>
      <c r="G16" s="79" t="n">
        <f aca="false">C16+D16+E16+F16</f>
        <v>2999094624.35175</v>
      </c>
      <c r="H16" s="85" t="n">
        <f aca="false">G16/Assumptions!$B$4</f>
        <v>2142210.44596554</v>
      </c>
    </row>
    <row r="17" customFormat="false" ht="15" hidden="false" customHeight="true" outlineLevel="0" collapsed="false">
      <c r="A17" s="1" t="n">
        <v>14</v>
      </c>
      <c r="B17" s="1" t="s">
        <v>332</v>
      </c>
      <c r="C17" s="66" t="n">
        <f aca="false">G16</f>
        <v>2999094624.35175</v>
      </c>
      <c r="D17" s="83" t="n">
        <f aca="false">IF(14=Assumptions!$B$37,Assumptions!$B$36,0)</f>
        <v>0</v>
      </c>
      <c r="E17" s="83" t="n">
        <f aca="false">SUMIFS(Assumptions!$B$63:$B$84,Assumptions!$C$63:$C$84,"M14",Assumptions!$E$63:$E$84,"&lt;&gt;보증·대출")</f>
        <v>0</v>
      </c>
      <c r="F17" s="84" t="n">
        <f aca="false">PnL!O14</f>
        <v>-49069919.2332159</v>
      </c>
      <c r="G17" s="79" t="n">
        <f aca="false">C17+D17+E17+F17</f>
        <v>2950024705.11854</v>
      </c>
      <c r="H17" s="85" t="n">
        <f aca="false">G17/Assumptions!$B$4</f>
        <v>2107160.5036561</v>
      </c>
    </row>
    <row r="18" customFormat="false" ht="15" hidden="false" customHeight="true" outlineLevel="0" collapsed="false">
      <c r="A18" s="1" t="n">
        <v>15</v>
      </c>
      <c r="B18" s="1" t="s">
        <v>333</v>
      </c>
      <c r="C18" s="66" t="n">
        <f aca="false">G17</f>
        <v>2950024705.11854</v>
      </c>
      <c r="D18" s="83" t="n">
        <f aca="false">IF(15=Assumptions!$B$37,Assumptions!$B$36,0)</f>
        <v>0</v>
      </c>
      <c r="E18" s="83" t="n">
        <f aca="false">SUMIFS(Assumptions!$B$63:$B$84,Assumptions!$C$63:$C$84,"M15",Assumptions!$E$63:$E$84,"&lt;&gt;보증·대출")</f>
        <v>0</v>
      </c>
      <c r="F18" s="84" t="n">
        <f aca="false">PnL!P14</f>
        <v>-48958309.5412019</v>
      </c>
      <c r="G18" s="79" t="n">
        <f aca="false">C18+D18+E18+F18</f>
        <v>2901066395.57734</v>
      </c>
      <c r="H18" s="85" t="n">
        <f aca="false">G18/Assumptions!$B$4</f>
        <v>2072190.28255524</v>
      </c>
    </row>
    <row r="19" customFormat="false" ht="15" hidden="false" customHeight="true" outlineLevel="0" collapsed="false">
      <c r="A19" s="1" t="n">
        <v>16</v>
      </c>
      <c r="B19" s="1" t="s">
        <v>334</v>
      </c>
      <c r="C19" s="66" t="n">
        <f aca="false">G18</f>
        <v>2901066395.57734</v>
      </c>
      <c r="D19" s="83" t="n">
        <f aca="false">IF(16=Assumptions!$B$37,Assumptions!$B$36,0)</f>
        <v>0</v>
      </c>
      <c r="E19" s="83" t="n">
        <f aca="false">SUMIFS(Assumptions!$B$63:$B$84,Assumptions!$C$63:$C$84,"M16",Assumptions!$E$63:$E$84,"&lt;&gt;보증·대출")</f>
        <v>0</v>
      </c>
      <c r="F19" s="84" t="n">
        <f aca="false">PnL!Q14</f>
        <v>-48833306.6861461</v>
      </c>
      <c r="G19" s="79" t="n">
        <f aca="false">C19+D19+E19+F19</f>
        <v>2852233088.89119</v>
      </c>
      <c r="H19" s="85" t="n">
        <f aca="false">G19/Assumptions!$B$4</f>
        <v>2037309.34920799</v>
      </c>
    </row>
    <row r="20" customFormat="false" ht="15" hidden="false" customHeight="true" outlineLevel="0" collapsed="false">
      <c r="A20" s="1" t="n">
        <v>17</v>
      </c>
      <c r="B20" s="1" t="s">
        <v>335</v>
      </c>
      <c r="C20" s="66" t="n">
        <f aca="false">G19</f>
        <v>2852233088.89119</v>
      </c>
      <c r="D20" s="83" t="n">
        <f aca="false">IF(17=Assumptions!$B$37,Assumptions!$B$36,0)</f>
        <v>0</v>
      </c>
      <c r="E20" s="83" t="n">
        <f aca="false">SUMIFS(Assumptions!$B$63:$B$84,Assumptions!$C$63:$C$84,"M17",Assumptions!$E$63:$E$84,"&lt;&gt;보증·대출")</f>
        <v>0</v>
      </c>
      <c r="F20" s="84" t="n">
        <f aca="false">PnL!R14</f>
        <v>-48693303.4884836</v>
      </c>
      <c r="G20" s="79" t="n">
        <f aca="false">C20+D20+E20+F20</f>
        <v>2803539785.40271</v>
      </c>
      <c r="H20" s="85" t="n">
        <f aca="false">G20/Assumptions!$B$4</f>
        <v>2002528.41814479</v>
      </c>
    </row>
    <row r="21" customFormat="false" ht="15" hidden="false" customHeight="true" outlineLevel="0" collapsed="false">
      <c r="A21" s="1" t="n">
        <v>18</v>
      </c>
      <c r="B21" s="1" t="s">
        <v>336</v>
      </c>
      <c r="C21" s="66" t="n">
        <f aca="false">G20</f>
        <v>2803539785.40271</v>
      </c>
      <c r="D21" s="83" t="n">
        <f aca="false">IF(18=Assumptions!$B$37,Assumptions!$B$36,0)</f>
        <v>0</v>
      </c>
      <c r="E21" s="83" t="n">
        <f aca="false">SUMIFS(Assumptions!$B$63:$B$84,Assumptions!$C$63:$C$84,"M18",Assumptions!$E$63:$E$84,"&lt;&gt;보증·대출")</f>
        <v>800000000</v>
      </c>
      <c r="F21" s="84" t="n">
        <f aca="false">PnL!S14</f>
        <v>-48536499.9071016</v>
      </c>
      <c r="G21" s="79" t="n">
        <f aca="false">C21+D21+E21+F21</f>
        <v>3555003285.49561</v>
      </c>
      <c r="H21" s="85" t="n">
        <f aca="false">G21/Assumptions!$B$4</f>
        <v>2539288.06106829</v>
      </c>
    </row>
    <row r="22" customFormat="false" ht="15" hidden="false" customHeight="true" outlineLevel="0" collapsed="false">
      <c r="A22" s="1" t="n">
        <v>19</v>
      </c>
      <c r="B22" s="1" t="s">
        <v>337</v>
      </c>
      <c r="C22" s="66" t="n">
        <f aca="false">G21</f>
        <v>3555003285.49561</v>
      </c>
      <c r="D22" s="83" t="n">
        <f aca="false">IF(19=Assumptions!$B$37,Assumptions!$B$36,0)</f>
        <v>0</v>
      </c>
      <c r="E22" s="83" t="n">
        <f aca="false">SUMIFS(Assumptions!$B$63:$B$84,Assumptions!$C$63:$C$84,"M19",Assumptions!$E$63:$E$84,"&lt;&gt;보증·대출")</f>
        <v>0</v>
      </c>
      <c r="F22" s="84" t="n">
        <f aca="false">PnL!T14</f>
        <v>-48360879.8959539</v>
      </c>
      <c r="G22" s="79" t="n">
        <f aca="false">C22+D22+E22+F22</f>
        <v>3506642405.59965</v>
      </c>
      <c r="H22" s="85" t="n">
        <f aca="false">G22/Assumptions!$B$4</f>
        <v>2504744.57542832</v>
      </c>
    </row>
    <row r="23" customFormat="false" ht="15" hidden="false" customHeight="true" outlineLevel="0" collapsed="false">
      <c r="A23" s="1" t="n">
        <v>20</v>
      </c>
      <c r="B23" s="1" t="s">
        <v>338</v>
      </c>
      <c r="C23" s="66" t="n">
        <f aca="false">G22</f>
        <v>3506642405.59965</v>
      </c>
      <c r="D23" s="83" t="n">
        <f aca="false">IF(20=Assumptions!$B$37,Assumptions!$B$36,0)</f>
        <v>0</v>
      </c>
      <c r="E23" s="83" t="n">
        <f aca="false">SUMIFS(Assumptions!$B$63:$B$84,Assumptions!$C$63:$C$84,"M20",Assumptions!$E$63:$E$84,"&lt;&gt;보증·대출")</f>
        <v>0</v>
      </c>
      <c r="F23" s="84" t="n">
        <f aca="false">PnL!U14</f>
        <v>-48164185.4834683</v>
      </c>
      <c r="G23" s="79" t="n">
        <f aca="false">C23+D23+E23+F23</f>
        <v>3458478220.11618</v>
      </c>
      <c r="H23" s="85" t="n">
        <f aca="false">G23/Assumptions!$B$4</f>
        <v>2470341.58579727</v>
      </c>
    </row>
    <row r="24" customFormat="false" ht="15" hidden="false" customHeight="true" outlineLevel="0" collapsed="false">
      <c r="A24" s="1" t="n">
        <v>21</v>
      </c>
      <c r="B24" s="1" t="s">
        <v>339</v>
      </c>
      <c r="C24" s="66" t="n">
        <f aca="false">G23</f>
        <v>3458478220.11618</v>
      </c>
      <c r="D24" s="83" t="n">
        <f aca="false">IF(21=Assumptions!$B$37,Assumptions!$B$36,0)</f>
        <v>0</v>
      </c>
      <c r="E24" s="83" t="n">
        <f aca="false">SUMIFS(Assumptions!$B$63:$B$84,Assumptions!$C$63:$C$84,"M21",Assumptions!$E$63:$E$84,"&lt;&gt;보증·대출")</f>
        <v>0</v>
      </c>
      <c r="F24" s="84" t="n">
        <f aca="false">PnL!V14</f>
        <v>-47943887.7414845</v>
      </c>
      <c r="G24" s="79" t="n">
        <f aca="false">C24+D24+E24+F24</f>
        <v>3410534332.3747</v>
      </c>
      <c r="H24" s="85" t="n">
        <f aca="false">G24/Assumptions!$B$4</f>
        <v>2436095.95169621</v>
      </c>
    </row>
    <row r="25" customFormat="false" ht="15" hidden="false" customHeight="true" outlineLevel="0" collapsed="false">
      <c r="A25" s="1" t="n">
        <v>22</v>
      </c>
      <c r="B25" s="1" t="s">
        <v>340</v>
      </c>
      <c r="C25" s="66" t="n">
        <f aca="false">G24</f>
        <v>3410534332.3747</v>
      </c>
      <c r="D25" s="83" t="n">
        <f aca="false">IF(22=Assumptions!$B$37,Assumptions!$B$36,0)</f>
        <v>0</v>
      </c>
      <c r="E25" s="83" t="n">
        <f aca="false">SUMIFS(Assumptions!$B$63:$B$84,Assumptions!$C$63:$C$84,"M22",Assumptions!$E$63:$E$84,"&lt;&gt;보증·대출")</f>
        <v>0</v>
      </c>
      <c r="F25" s="84" t="n">
        <f aca="false">PnL!W14</f>
        <v>-47697154.2704627</v>
      </c>
      <c r="G25" s="79" t="n">
        <f aca="false">C25+D25+E25+F25</f>
        <v>3362837178.10424</v>
      </c>
      <c r="H25" s="85" t="n">
        <f aca="false">G25/Assumptions!$B$4</f>
        <v>2402026.55578874</v>
      </c>
    </row>
    <row r="26" customFormat="false" ht="15" hidden="false" customHeight="true" outlineLevel="0" collapsed="false">
      <c r="A26" s="1" t="n">
        <v>23</v>
      </c>
      <c r="B26" s="1" t="s">
        <v>341</v>
      </c>
      <c r="C26" s="66" t="n">
        <f aca="false">G25</f>
        <v>3362837178.10424</v>
      </c>
      <c r="D26" s="83" t="n">
        <f aca="false">IF(23=Assumptions!$B$37,Assumptions!$B$36,0)</f>
        <v>0</v>
      </c>
      <c r="E26" s="83" t="n">
        <f aca="false">SUMIFS(Assumptions!$B$63:$B$84,Assumptions!$C$63:$C$84,"M23",Assumptions!$E$63:$E$84,"&lt;&gt;보증·대출")</f>
        <v>0</v>
      </c>
      <c r="F26" s="84" t="n">
        <f aca="false">PnL!X14</f>
        <v>-47420812.7829182</v>
      </c>
      <c r="G26" s="79" t="n">
        <f aca="false">C26+D26+E26+F26</f>
        <v>3315416365.32132</v>
      </c>
      <c r="H26" s="85" t="n">
        <f aca="false">G26/Assumptions!$B$4</f>
        <v>2368154.54665808</v>
      </c>
    </row>
    <row r="27" customFormat="false" ht="15" hidden="false" customHeight="true" outlineLevel="0" collapsed="false">
      <c r="A27" s="1" t="n">
        <v>24</v>
      </c>
      <c r="B27" s="1" t="s">
        <v>342</v>
      </c>
      <c r="C27" s="66" t="n">
        <f aca="false">G26</f>
        <v>3315416365.32132</v>
      </c>
      <c r="D27" s="83" t="n">
        <f aca="false">IF(24=Assumptions!$B$37,Assumptions!$B$36,0)</f>
        <v>0</v>
      </c>
      <c r="E27" s="83" t="n">
        <f aca="false">SUMIFS(Assumptions!$B$63:$B$84,Assumptions!$C$63:$C$84,"M24",Assumptions!$E$63:$E$84,"&lt;&gt;보증·대출")</f>
        <v>0</v>
      </c>
      <c r="F27" s="84" t="n">
        <f aca="false">PnL!Y14</f>
        <v>-47111310.3168683</v>
      </c>
      <c r="G27" s="79" t="n">
        <f aca="false">C27+D27+E27+F27</f>
        <v>3268305055.00445</v>
      </c>
      <c r="H27" s="85" t="n">
        <f aca="false">G27/Assumptions!$B$4</f>
        <v>2334503.61071746</v>
      </c>
    </row>
    <row r="28" customFormat="false" ht="15" hidden="false" customHeight="true" outlineLevel="0" collapsed="false">
      <c r="A28" s="1" t="n">
        <v>25</v>
      </c>
      <c r="B28" s="1" t="s">
        <v>343</v>
      </c>
      <c r="C28" s="66" t="n">
        <f aca="false">G27</f>
        <v>3268305055.00445</v>
      </c>
      <c r="D28" s="83" t="n">
        <f aca="false">IF(25=Assumptions!$B$37,Assumptions!$B$36,0)</f>
        <v>0</v>
      </c>
      <c r="E28" s="83" t="n">
        <f aca="false">SUMIFS(Assumptions!$B$63:$B$84,Assumptions!$C$63:$C$84,"M25",Assumptions!$E$63:$E$84,"&lt;&gt;보증·대출")</f>
        <v>0</v>
      </c>
      <c r="F28" s="84" t="n">
        <f aca="false">PnL!Z14</f>
        <v>-59793296.4529348</v>
      </c>
      <c r="G28" s="79" t="n">
        <f aca="false">C28+D28+E28+F28</f>
        <v>3208511758.55151</v>
      </c>
      <c r="H28" s="85" t="n">
        <f aca="false">G28/Assumptions!$B$4</f>
        <v>2291794.11325108</v>
      </c>
    </row>
    <row r="29" customFormat="false" ht="15" hidden="false" customHeight="true" outlineLevel="0" collapsed="false">
      <c r="A29" s="1" t="n">
        <v>26</v>
      </c>
      <c r="B29" s="1" t="s">
        <v>344</v>
      </c>
      <c r="C29" s="66" t="n">
        <f aca="false">G28</f>
        <v>3208511758.55151</v>
      </c>
      <c r="D29" s="83" t="n">
        <f aca="false">IF(26=Assumptions!$B$37,Assumptions!$B$36,0)</f>
        <v>0</v>
      </c>
      <c r="E29" s="83" t="n">
        <f aca="false">SUMIFS(Assumptions!$B$63:$B$84,Assumptions!$C$63:$C$84,"M26",Assumptions!$E$63:$E$84,"&lt;&gt;보증·대출")</f>
        <v>0</v>
      </c>
      <c r="F29" s="84" t="n">
        <f aca="false">PnL!AA14</f>
        <v>-59180894.2401109</v>
      </c>
      <c r="G29" s="79" t="n">
        <f aca="false">C29+D29+E29+F29</f>
        <v>3149330864.3114</v>
      </c>
      <c r="H29" s="85" t="n">
        <f aca="false">G29/Assumptions!$B$4</f>
        <v>2249522.04593672</v>
      </c>
    </row>
    <row r="30" customFormat="false" ht="15" hidden="false" customHeight="true" outlineLevel="0" collapsed="false">
      <c r="A30" s="1" t="n">
        <v>27</v>
      </c>
      <c r="B30" s="1" t="s">
        <v>345</v>
      </c>
      <c r="C30" s="66" t="n">
        <f aca="false">G29</f>
        <v>3149330864.3114</v>
      </c>
      <c r="D30" s="83" t="n">
        <f aca="false">IF(27=Assumptions!$B$37,Assumptions!$B$36,0)</f>
        <v>0</v>
      </c>
      <c r="E30" s="83" t="n">
        <f aca="false">SUMIFS(Assumptions!$B$63:$B$84,Assumptions!$C$63:$C$84,"M27",Assumptions!$E$63:$E$84,"&lt;&gt;보증·대출")</f>
        <v>0</v>
      </c>
      <c r="F30" s="84" t="n">
        <f aca="false">PnL!AB14</f>
        <v>-58531747.8945176</v>
      </c>
      <c r="G30" s="79" t="n">
        <f aca="false">C30+D30+E30+F30</f>
        <v>3090799116.41689</v>
      </c>
      <c r="H30" s="85" t="n">
        <f aca="false">G30/Assumptions!$B$4</f>
        <v>2207713.65458349</v>
      </c>
    </row>
    <row r="31" customFormat="false" ht="15" hidden="false" customHeight="true" outlineLevel="0" collapsed="false">
      <c r="A31" s="1" t="n">
        <v>28</v>
      </c>
      <c r="B31" s="1" t="s">
        <v>346</v>
      </c>
      <c r="C31" s="66" t="n">
        <f aca="false">G30</f>
        <v>3090799116.41689</v>
      </c>
      <c r="D31" s="83" t="n">
        <f aca="false">IF(28=Assumptions!$B$37,Assumptions!$B$36,0)</f>
        <v>0</v>
      </c>
      <c r="E31" s="83" t="n">
        <f aca="false">SUMIFS(Assumptions!$B$63:$B$84,Assumptions!$C$63:$C$84,"M28",Assumptions!$E$63:$E$84,"&lt;&gt;보증·대출")</f>
        <v>0</v>
      </c>
      <c r="F31" s="84" t="n">
        <f aca="false">PnL!AC14</f>
        <v>-57843652.7681886</v>
      </c>
      <c r="G31" s="79" t="n">
        <f aca="false">C31+D31+E31+F31</f>
        <v>3032955463.6487</v>
      </c>
      <c r="H31" s="85" t="n">
        <f aca="false">G31/Assumptions!$B$4</f>
        <v>2166396.75974907</v>
      </c>
    </row>
    <row r="32" customFormat="false" ht="15" hidden="false" customHeight="true" outlineLevel="0" collapsed="false">
      <c r="A32" s="1" t="n">
        <v>29</v>
      </c>
      <c r="B32" s="1" t="s">
        <v>347</v>
      </c>
      <c r="C32" s="66" t="n">
        <f aca="false">G31</f>
        <v>3032955463.6487</v>
      </c>
      <c r="D32" s="83" t="n">
        <f aca="false">IF(29=Assumptions!$B$37,Assumptions!$B$36,0)</f>
        <v>0</v>
      </c>
      <c r="E32" s="83" t="n">
        <f aca="false">SUMIFS(Assumptions!$B$63:$B$84,Assumptions!$C$63:$C$84,"M29",Assumptions!$E$63:$E$84,"&lt;&gt;보증·대출")</f>
        <v>0</v>
      </c>
      <c r="F32" s="84" t="n">
        <f aca="false">PnL!AD14</f>
        <v>-57114271.93428</v>
      </c>
      <c r="G32" s="79" t="n">
        <f aca="false">C32+D32+E32+F32</f>
        <v>2975841191.71442</v>
      </c>
      <c r="H32" s="85" t="n">
        <f aca="false">G32/Assumptions!$B$4</f>
        <v>2125600.85122458</v>
      </c>
    </row>
    <row r="33" customFormat="false" ht="15" hidden="false" customHeight="true" outlineLevel="0" collapsed="false">
      <c r="A33" s="1" t="n">
        <v>30</v>
      </c>
      <c r="B33" s="1" t="s">
        <v>348</v>
      </c>
      <c r="C33" s="66" t="n">
        <f aca="false">G32</f>
        <v>2975841191.71442</v>
      </c>
      <c r="D33" s="83" t="n">
        <f aca="false">IF(30=Assumptions!$B$37,Assumptions!$B$36,0)</f>
        <v>0</v>
      </c>
      <c r="E33" s="83" t="n">
        <f aca="false">SUMIFS(Assumptions!$B$63:$B$84,Assumptions!$C$63:$C$84,"M30",Assumptions!$E$63:$E$84,"&lt;&gt;보증·대출")</f>
        <v>300000000</v>
      </c>
      <c r="F33" s="84" t="n">
        <f aca="false">PnL!AE14</f>
        <v>-56341128.2503367</v>
      </c>
      <c r="G33" s="79" t="n">
        <f aca="false">C33+D33+E33+F33</f>
        <v>3219500063.46408</v>
      </c>
      <c r="H33" s="85" t="n">
        <f aca="false">G33/Assumptions!$B$4</f>
        <v>2299642.90247434</v>
      </c>
    </row>
    <row r="34" customFormat="false" ht="15" hidden="false" customHeight="true" outlineLevel="0" collapsed="false">
      <c r="A34" s="1" t="n">
        <v>31</v>
      </c>
      <c r="B34" s="1" t="s">
        <v>349</v>
      </c>
      <c r="C34" s="66" t="n">
        <f aca="false">G33</f>
        <v>3219500063.46408</v>
      </c>
      <c r="D34" s="83" t="n">
        <f aca="false">IF(31=Assumptions!$B$37,Assumptions!$B$36,0)</f>
        <v>0</v>
      </c>
      <c r="E34" s="83" t="n">
        <f aca="false">SUMIFS(Assumptions!$B$63:$B$84,Assumptions!$C$63:$C$84,"M31",Assumptions!$E$63:$E$84,"&lt;&gt;보증·대출")</f>
        <v>0</v>
      </c>
      <c r="F34" s="84" t="n">
        <f aca="false">PnL!AF14</f>
        <v>-55521595.9453569</v>
      </c>
      <c r="G34" s="79" t="n">
        <f aca="false">C34+D34+E34+F34</f>
        <v>3163978467.51872</v>
      </c>
      <c r="H34" s="85" t="n">
        <f aca="false">G34/Assumptions!$B$4</f>
        <v>2259984.61965623</v>
      </c>
    </row>
    <row r="35" customFormat="false" ht="15" hidden="false" customHeight="true" outlineLevel="0" collapsed="false">
      <c r="A35" s="1" t="n">
        <v>32</v>
      </c>
      <c r="B35" s="1" t="s">
        <v>350</v>
      </c>
      <c r="C35" s="66" t="n">
        <f aca="false">G34</f>
        <v>3163978467.51872</v>
      </c>
      <c r="D35" s="83" t="n">
        <f aca="false">IF(32=Assumptions!$B$37,Assumptions!$B$36,0)</f>
        <v>0</v>
      </c>
      <c r="E35" s="83" t="n">
        <f aca="false">SUMIFS(Assumptions!$B$63:$B$84,Assumptions!$C$63:$C$84,"M32",Assumptions!$E$63:$E$84,"&lt;&gt;보증·대출")</f>
        <v>0</v>
      </c>
      <c r="F35" s="84" t="n">
        <f aca="false">PnL!AG14</f>
        <v>-54652891.7020783</v>
      </c>
      <c r="G35" s="79" t="n">
        <f aca="false">C35+D35+E35+F35</f>
        <v>3109325575.81665</v>
      </c>
      <c r="H35" s="85" t="n">
        <f aca="false">G35/Assumptions!$B$4</f>
        <v>2220946.83986903</v>
      </c>
    </row>
    <row r="36" customFormat="false" ht="15" hidden="false" customHeight="true" outlineLevel="0" collapsed="false">
      <c r="A36" s="1" t="n">
        <v>33</v>
      </c>
      <c r="B36" s="1" t="s">
        <v>351</v>
      </c>
      <c r="C36" s="66" t="n">
        <f aca="false">G35</f>
        <v>3109325575.81665</v>
      </c>
      <c r="D36" s="83" t="n">
        <f aca="false">IF(33=Assumptions!$B$37,Assumptions!$B$36,0)</f>
        <v>0</v>
      </c>
      <c r="E36" s="83" t="n">
        <f aca="false">SUMIFS(Assumptions!$B$63:$B$84,Assumptions!$C$63:$C$84,"M33",Assumptions!$E$63:$E$84,"&lt;&gt;보증·대출")</f>
        <v>0</v>
      </c>
      <c r="F36" s="84" t="n">
        <f aca="false">PnL!AH14</f>
        <v>-53732065.204203</v>
      </c>
      <c r="G36" s="79" t="n">
        <f aca="false">C36+D36+E36+F36</f>
        <v>3055593510.61244</v>
      </c>
      <c r="H36" s="85" t="n">
        <f aca="false">G36/Assumptions!$B$4</f>
        <v>2182566.7932946</v>
      </c>
    </row>
    <row r="37" customFormat="false" ht="15" hidden="false" customHeight="true" outlineLevel="0" collapsed="false">
      <c r="A37" s="1" t="n">
        <v>34</v>
      </c>
      <c r="B37" s="1" t="s">
        <v>352</v>
      </c>
      <c r="C37" s="66" t="n">
        <f aca="false">G36</f>
        <v>3055593510.61244</v>
      </c>
      <c r="D37" s="83" t="n">
        <f aca="false">IF(34=Assumptions!$B$37,Assumptions!$B$36,0)</f>
        <v>0</v>
      </c>
      <c r="E37" s="83" t="n">
        <f aca="false">SUMIFS(Assumptions!$B$63:$B$84,Assumptions!$C$63:$C$84,"M34",Assumptions!$E$63:$E$84,"&lt;&gt;보증·대출")</f>
        <v>0</v>
      </c>
      <c r="F37" s="84" t="n">
        <f aca="false">PnL!AI14</f>
        <v>-52755989.1164552</v>
      </c>
      <c r="G37" s="79" t="n">
        <f aca="false">C37+D37+E37+F37</f>
        <v>3002837521.49599</v>
      </c>
      <c r="H37" s="85" t="n">
        <f aca="false">G37/Assumptions!$B$4</f>
        <v>2144883.94392571</v>
      </c>
    </row>
    <row r="38" customFormat="false" ht="15" hidden="false" customHeight="true" outlineLevel="0" collapsed="false">
      <c r="A38" s="1" t="n">
        <v>35</v>
      </c>
      <c r="B38" s="1" t="s">
        <v>353</v>
      </c>
      <c r="C38" s="66" t="n">
        <f aca="false">G37</f>
        <v>3002837521.49599</v>
      </c>
      <c r="D38" s="83" t="n">
        <f aca="false">IF(35=Assumptions!$B$37,Assumptions!$B$36,0)</f>
        <v>0</v>
      </c>
      <c r="E38" s="83" t="n">
        <f aca="false">SUMIFS(Assumptions!$B$63:$B$84,Assumptions!$C$63:$C$84,"M35",Assumptions!$E$63:$E$84,"&lt;&gt;보증·대출")</f>
        <v>0</v>
      </c>
      <c r="F38" s="84" t="n">
        <f aca="false">PnL!AJ14</f>
        <v>-51721348.4634425</v>
      </c>
      <c r="G38" s="79" t="n">
        <f aca="false">C38+D38+E38+F38</f>
        <v>2951116173.03255</v>
      </c>
      <c r="H38" s="85" t="n">
        <f aca="false">G38/Assumptions!$B$4</f>
        <v>2107940.12359468</v>
      </c>
    </row>
    <row r="39" customFormat="false" ht="15" hidden="false" customHeight="true" outlineLevel="0" collapsed="false">
      <c r="A39" s="1" t="n">
        <v>36</v>
      </c>
      <c r="B39" s="1" t="s">
        <v>354</v>
      </c>
      <c r="C39" s="66" t="n">
        <f aca="false">G38</f>
        <v>2951116173.03255</v>
      </c>
      <c r="D39" s="83" t="n">
        <f aca="false">IF(36=Assumptions!$B$37,Assumptions!$B$36,0)</f>
        <v>0</v>
      </c>
      <c r="E39" s="83" t="n">
        <f aca="false">SUMIFS(Assumptions!$B$63:$B$84,Assumptions!$C$63:$C$84,"M36",Assumptions!$E$63:$E$84,"&lt;&gt;보증·대출")</f>
        <v>0</v>
      </c>
      <c r="F39" s="84" t="n">
        <f aca="false">PnL!AK14</f>
        <v>-50624629.3712491</v>
      </c>
      <c r="G39" s="79" t="n">
        <f aca="false">C39+D39+E39+F39</f>
        <v>2900491543.6613</v>
      </c>
      <c r="H39" s="85" t="n">
        <f aca="false">G39/Assumptions!$B$4</f>
        <v>2071779.67404378</v>
      </c>
    </row>
    <row r="40" customFormat="false" ht="15" hidden="false" customHeight="true" outlineLevel="0" collapsed="false">
      <c r="A40" s="58" t="s">
        <v>427</v>
      </c>
      <c r="D40" s="68" t="n">
        <f aca="false">SUM(D4:D39)</f>
        <v>1500000000</v>
      </c>
    </row>
    <row r="41" customFormat="false" ht="15" hidden="false" customHeight="true" outlineLevel="0" collapsed="false">
      <c r="A41" s="58" t="s">
        <v>428</v>
      </c>
      <c r="E41" s="68" t="n">
        <f aca="false">SUM(E4:E39)</f>
        <v>2983200000</v>
      </c>
    </row>
    <row r="42" customFormat="false" ht="15" hidden="false" customHeight="true" outlineLevel="0" collapsed="false">
      <c r="A42" s="58" t="s">
        <v>429</v>
      </c>
      <c r="F42" s="86" t="n">
        <f aca="false">SUM(F4:F39)</f>
        <v>-1682708456.3387</v>
      </c>
    </row>
    <row r="43" customFormat="false" ht="15" hidden="false" customHeight="true" outlineLevel="0" collapsed="false">
      <c r="A43" s="58" t="s">
        <v>430</v>
      </c>
      <c r="G43" s="87" t="n">
        <f aca="false">G39</f>
        <v>2900491543.6613</v>
      </c>
    </row>
  </sheetData>
  <mergeCells count="1">
    <mergeCell ref="A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6796875" defaultRowHeight="15" customHeight="false" zeroHeight="false" outlineLevelRow="0" outlineLevelCol="0"/>
  <cols>
    <col collapsed="false" customWidth="true" hidden="false" outlineLevel="0" max="1" min="1" style="1" width="35"/>
    <col collapsed="false" customWidth="true" hidden="false" outlineLevel="0" max="2" min="2" style="1" width="18"/>
    <col collapsed="false" customWidth="true" hidden="false" outlineLevel="0" max="3" min="3" style="1" width="22"/>
    <col collapsed="false" customWidth="true" hidden="false" outlineLevel="0" max="4" min="4" style="1" width="50"/>
  </cols>
  <sheetData>
    <row r="1" customFormat="false" ht="109.5" hidden="false" customHeight="true" outlineLevel="0" collapsed="false">
      <c r="A1" s="21" t="s">
        <v>431</v>
      </c>
      <c r="B1" s="21"/>
      <c r="C1" s="21"/>
      <c r="D1" s="21"/>
      <c r="E1" s="21"/>
      <c r="F1" s="21"/>
    </row>
    <row r="3" customFormat="false" ht="16.5" hidden="false" customHeight="true" outlineLevel="0" collapsed="false">
      <c r="A3" s="76" t="s">
        <v>432</v>
      </c>
    </row>
    <row r="5" customFormat="false" ht="16.5" hidden="false" customHeight="true" outlineLevel="0" collapsed="false">
      <c r="A5" s="88" t="s">
        <v>60</v>
      </c>
      <c r="B5" s="88" t="s">
        <v>433</v>
      </c>
      <c r="C5" s="56" t="s">
        <v>434</v>
      </c>
      <c r="D5" s="88" t="s">
        <v>435</v>
      </c>
      <c r="E5" s="88" t="s">
        <v>436</v>
      </c>
      <c r="F5" s="58" t="s">
        <v>437</v>
      </c>
    </row>
    <row r="6" customFormat="false" ht="15" hidden="false" customHeight="true" outlineLevel="0" collapsed="false">
      <c r="A6" s="32" t="s">
        <v>438</v>
      </c>
      <c r="B6" s="89" t="s">
        <v>439</v>
      </c>
      <c r="C6" s="23" t="s">
        <v>440</v>
      </c>
      <c r="D6" s="32" t="s">
        <v>441</v>
      </c>
      <c r="E6" s="90" t="str">
        <f aca="false">ROUND(F6/BEP_Runway!$G$18,0)&amp;" months (IR scaled)"</f>
        <v>11 months (IR scaled)</v>
      </c>
      <c r="F6" s="91" t="n">
        <v>750000000</v>
      </c>
    </row>
    <row r="7" customFormat="false" ht="15" hidden="false" customHeight="true" outlineLevel="0" collapsed="false">
      <c r="A7" s="92" t="s">
        <v>442</v>
      </c>
      <c r="B7" s="93" t="s">
        <v>443</v>
      </c>
      <c r="C7" s="93" t="s">
        <v>444</v>
      </c>
      <c r="D7" s="93" t="s">
        <v>445</v>
      </c>
      <c r="E7" s="94" t="str">
        <f aca="false">ROUND(F7/BEP_Runway!$G$18,0)&amp;" months (IR scaled)"</f>
        <v>21 months (IR scaled)</v>
      </c>
      <c r="F7" s="91" t="n">
        <v>1500000000</v>
      </c>
    </row>
    <row r="8" customFormat="false" ht="15" hidden="false" customHeight="true" outlineLevel="0" collapsed="false">
      <c r="A8" s="32" t="s">
        <v>446</v>
      </c>
      <c r="B8" s="89" t="s">
        <v>447</v>
      </c>
      <c r="C8" s="23" t="s">
        <v>448</v>
      </c>
      <c r="D8" s="23" t="s">
        <v>449</v>
      </c>
      <c r="E8" s="90" t="str">
        <f aca="false">ROUND(F8/BEP_Runway!$G$18,0)&amp;" months (IR scaled)"</f>
        <v>36 months (IR scaled)</v>
      </c>
      <c r="F8" s="91" t="n">
        <v>2500000000</v>
      </c>
    </row>
    <row r="10" customFormat="false" ht="16.5" hidden="false" customHeight="true" outlineLevel="0" collapsed="false">
      <c r="A10" s="76" t="s">
        <v>450</v>
      </c>
    </row>
    <row r="12" customFormat="false" ht="16.5" hidden="false" customHeight="true" outlineLevel="0" collapsed="false">
      <c r="A12" s="56" t="s">
        <v>451</v>
      </c>
      <c r="B12" s="88" t="s">
        <v>452</v>
      </c>
      <c r="C12" s="88" t="s">
        <v>453</v>
      </c>
      <c r="D12" s="88" t="s">
        <v>454</v>
      </c>
    </row>
    <row r="13" customFormat="false" ht="15" hidden="false" customHeight="true" outlineLevel="0" collapsed="false">
      <c r="A13" s="32" t="s">
        <v>455</v>
      </c>
      <c r="B13" s="95" t="n">
        <v>0.4</v>
      </c>
      <c r="C13" s="66" t="n">
        <f aca="false">B13*1500000000</f>
        <v>600000000</v>
      </c>
      <c r="D13" s="61" t="s">
        <v>456</v>
      </c>
    </row>
    <row r="14" customFormat="false" ht="15" hidden="false" customHeight="true" outlineLevel="0" collapsed="false">
      <c r="A14" s="32" t="s">
        <v>457</v>
      </c>
      <c r="B14" s="95" t="n">
        <v>0.2</v>
      </c>
      <c r="C14" s="66" t="n">
        <f aca="false">B14*1500000000</f>
        <v>300000000</v>
      </c>
      <c r="D14" s="96" t="s">
        <v>458</v>
      </c>
    </row>
    <row r="15" customFormat="false" ht="15" hidden="false" customHeight="true" outlineLevel="0" collapsed="false">
      <c r="A15" s="32" t="s">
        <v>459</v>
      </c>
      <c r="B15" s="95" t="n">
        <v>0.15</v>
      </c>
      <c r="C15" s="66" t="n">
        <f aca="false">B15*1500000000</f>
        <v>225000000</v>
      </c>
      <c r="D15" s="96" t="s">
        <v>460</v>
      </c>
    </row>
    <row r="16" customFormat="false" ht="15" hidden="false" customHeight="true" outlineLevel="0" collapsed="false">
      <c r="A16" s="32" t="s">
        <v>461</v>
      </c>
      <c r="B16" s="95" t="n">
        <v>0.1</v>
      </c>
      <c r="C16" s="66" t="n">
        <f aca="false">B16*1500000000</f>
        <v>150000000</v>
      </c>
      <c r="D16" s="96" t="s">
        <v>462</v>
      </c>
    </row>
    <row r="17" customFormat="false" ht="15" hidden="false" customHeight="true" outlineLevel="0" collapsed="false">
      <c r="A17" s="32" t="s">
        <v>463</v>
      </c>
      <c r="B17" s="95" t="n">
        <v>0.1</v>
      </c>
      <c r="C17" s="66" t="n">
        <f aca="false">B17*1500000000</f>
        <v>150000000</v>
      </c>
      <c r="D17" s="96" t="s">
        <v>464</v>
      </c>
    </row>
    <row r="18" customFormat="false" ht="15" hidden="false" customHeight="true" outlineLevel="0" collapsed="false">
      <c r="A18" s="32" t="s">
        <v>465</v>
      </c>
      <c r="B18" s="95" t="n">
        <v>0.05</v>
      </c>
      <c r="C18" s="66" t="n">
        <f aca="false">B18*1500000000</f>
        <v>75000000</v>
      </c>
      <c r="D18" s="61" t="s">
        <v>466</v>
      </c>
    </row>
    <row r="19" customFormat="false" ht="15" hidden="false" customHeight="true" outlineLevel="0" collapsed="false">
      <c r="A19" s="58" t="s">
        <v>467</v>
      </c>
      <c r="B19" s="97" t="n">
        <f aca="false">SUM(B13:B18)</f>
        <v>1</v>
      </c>
      <c r="C19" s="68" t="n">
        <f aca="false">SUM(C13:C18)</f>
        <v>1500000000</v>
      </c>
    </row>
    <row r="21" customFormat="false" ht="15" hidden="false" customHeight="true" outlineLevel="0" collapsed="false">
      <c r="A21" s="98" t="s">
        <v>468</v>
      </c>
    </row>
    <row r="22" customFormat="false" ht="16.5" hidden="false" customHeight="true" outlineLevel="0" collapsed="false">
      <c r="A22" s="76" t="s">
        <v>469</v>
      </c>
    </row>
    <row r="24" customFormat="false" ht="16.5" hidden="false" customHeight="true" outlineLevel="0" collapsed="false">
      <c r="A24" s="99" t="s">
        <v>219</v>
      </c>
      <c r="B24" s="100" t="s">
        <v>470</v>
      </c>
      <c r="C24" s="100" t="s">
        <v>471</v>
      </c>
      <c r="D24" s="37" t="s">
        <v>472</v>
      </c>
    </row>
    <row r="25" customFormat="false" ht="15" hidden="false" customHeight="true" outlineLevel="0" collapsed="false">
      <c r="A25" s="23" t="s">
        <v>473</v>
      </c>
      <c r="B25" s="23" t="n">
        <f aca="false">COUNTIF(Assumptions!E63:E84,"Phase 0")</f>
        <v>4</v>
      </c>
      <c r="C25" s="101" t="n">
        <f aca="false">SUMIF(Assumptions!E63:E84,"Phase 0",Assumptions!B63:B84)</f>
        <v>210000000</v>
      </c>
      <c r="D25" s="20" t="s">
        <v>474</v>
      </c>
    </row>
    <row r="26" customFormat="false" ht="15" hidden="false" customHeight="true" outlineLevel="0" collapsed="false">
      <c r="A26" s="32" t="s">
        <v>475</v>
      </c>
      <c r="B26" s="23" t="n">
        <f aca="false">COUNTIF(Assumptions!E63:E84,"Phase 1")</f>
        <v>11</v>
      </c>
      <c r="C26" s="101" t="n">
        <f aca="false">SUMIF(Assumptions!E63:E84,"Phase 1",Assumptions!B63:B84)</f>
        <v>873200000</v>
      </c>
      <c r="D26" s="20" t="s">
        <v>476</v>
      </c>
    </row>
    <row r="27" customFormat="false" ht="15" hidden="false" customHeight="true" outlineLevel="0" collapsed="false">
      <c r="A27" s="23" t="s">
        <v>477</v>
      </c>
      <c r="B27" s="23" t="n">
        <f aca="false">COUNTIF(Assumptions!E63:E84,"Phase 1.5")</f>
        <v>4</v>
      </c>
      <c r="C27" s="101" t="n">
        <f aca="false">SUMIF(Assumptions!E63:E84,"Phase 1.5",Assumptions!B63:B84)</f>
        <v>1900000000</v>
      </c>
      <c r="D27" s="1" t="s">
        <v>478</v>
      </c>
    </row>
    <row r="28" customFormat="false" ht="15" hidden="false" customHeight="true" outlineLevel="0" collapsed="false">
      <c r="A28" s="102" t="s">
        <v>479</v>
      </c>
      <c r="B28" s="23" t="n">
        <f aca="false">SUM(B25:B27)</f>
        <v>19</v>
      </c>
      <c r="C28" s="103" t="n">
        <f aca="false">SUM(C25:C27)</f>
        <v>2983200000</v>
      </c>
    </row>
    <row r="29" customFormat="false" ht="15" hidden="false" customHeight="true" outlineLevel="0" collapsed="false">
      <c r="A29" s="32"/>
      <c r="B29" s="23"/>
      <c r="C29" s="65"/>
    </row>
    <row r="30" customFormat="false" ht="15" hidden="false" customHeight="true" outlineLevel="0" collapsed="false">
      <c r="A30" s="32" t="s">
        <v>480</v>
      </c>
      <c r="B30" s="23" t="n">
        <f aca="false">COUNTIF(Assumptions!E63:E84,"보증·대출")</f>
        <v>3</v>
      </c>
      <c r="C30" s="101" t="n">
        <f aca="false">SUMIF(Assumptions!E63:E84,"보증·대출",Assumptions!B63:B84)</f>
        <v>1000000000</v>
      </c>
      <c r="D30" s="20" t="s">
        <v>481</v>
      </c>
    </row>
    <row r="31" customFormat="false" ht="15" hidden="false" customHeight="true" outlineLevel="0" collapsed="false">
      <c r="A31" s="32"/>
      <c r="B31" s="23"/>
      <c r="C31" s="65"/>
    </row>
    <row r="32" customFormat="false" ht="15" hidden="false" customHeight="true" outlineLevel="0" collapsed="false">
      <c r="A32" s="104" t="s">
        <v>482</v>
      </c>
      <c r="B32" s="105"/>
      <c r="C32" s="74"/>
    </row>
    <row r="33" customFormat="false" ht="15" hidden="false" customHeight="false" outlineLevel="0" collapsed="false">
      <c r="A33" s="106" t="s">
        <v>483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6796875" defaultRowHeight="15" customHeight="false" zeroHeight="false" outlineLevelRow="0" outlineLevelCol="0"/>
  <cols>
    <col collapsed="false" customWidth="true" hidden="false" outlineLevel="0" max="1" min="1" style="1" width="35"/>
    <col collapsed="false" customWidth="true" hidden="false" outlineLevel="0" max="3" min="2" style="1" width="22"/>
    <col collapsed="false" customWidth="true" hidden="false" outlineLevel="0" max="4" min="4" style="1" width="16"/>
    <col collapsed="false" customWidth="true" hidden="false" outlineLevel="0" max="5" min="5" style="1" width="24"/>
    <col collapsed="false" customWidth="true" hidden="false" outlineLevel="0" max="6" min="6" style="1" width="8"/>
  </cols>
  <sheetData>
    <row r="1" customFormat="false" ht="109.5" hidden="false" customHeight="true" outlineLevel="0" collapsed="false">
      <c r="A1" s="21" t="s">
        <v>484</v>
      </c>
      <c r="B1" s="21"/>
      <c r="C1" s="21"/>
      <c r="D1" s="21"/>
      <c r="E1" s="21"/>
      <c r="F1" s="21"/>
    </row>
    <row r="3" customFormat="false" ht="17.25" hidden="false" customHeight="true" outlineLevel="0" collapsed="false">
      <c r="A3" s="4" t="s">
        <v>485</v>
      </c>
      <c r="B3" s="4"/>
      <c r="C3" s="4"/>
      <c r="D3" s="4"/>
      <c r="E3" s="4"/>
      <c r="F3" s="4"/>
    </row>
    <row r="4" customFormat="false" ht="15" hidden="false" customHeight="true" outlineLevel="0" collapsed="false">
      <c r="A4" s="107" t="s">
        <v>486</v>
      </c>
      <c r="B4" s="107"/>
      <c r="C4" s="107"/>
      <c r="D4" s="107"/>
      <c r="E4" s="107"/>
      <c r="F4" s="107"/>
    </row>
    <row r="6" customFormat="false" ht="17.25" hidden="false" customHeight="true" outlineLevel="0" collapsed="false">
      <c r="A6" s="88" t="s">
        <v>487</v>
      </c>
      <c r="B6" s="88" t="s">
        <v>488</v>
      </c>
      <c r="C6" s="88" t="s">
        <v>489</v>
      </c>
      <c r="D6" s="88" t="s">
        <v>490</v>
      </c>
      <c r="E6" s="88" t="s">
        <v>472</v>
      </c>
    </row>
    <row r="7" customFormat="false" ht="15" hidden="false" customHeight="true" outlineLevel="0" collapsed="false">
      <c r="A7" s="23" t="s">
        <v>491</v>
      </c>
      <c r="B7" s="108" t="n">
        <f aca="false">Assumptions!$B$36</f>
        <v>1500000000</v>
      </c>
      <c r="C7" s="108" t="n">
        <f aca="false">Assumptions!$B$36</f>
        <v>1500000000</v>
      </c>
      <c r="E7" s="109" t="s">
        <v>492</v>
      </c>
    </row>
    <row r="8" customFormat="false" ht="15" hidden="false" customHeight="true" outlineLevel="0" collapsed="false">
      <c r="A8" s="23" t="s">
        <v>493</v>
      </c>
      <c r="B8" s="108" t="n">
        <f aca="false">Assumptions!$B$43</f>
        <v>800000000</v>
      </c>
      <c r="C8" s="110" t="n">
        <v>0</v>
      </c>
      <c r="D8" s="110" t="n">
        <f aca="false">C8-B8</f>
        <v>-800000000</v>
      </c>
      <c r="E8" s="111" t="s">
        <v>494</v>
      </c>
    </row>
    <row r="9" customFormat="false" ht="15" hidden="false" customHeight="true" outlineLevel="0" collapsed="false">
      <c r="A9" s="32" t="s">
        <v>495</v>
      </c>
      <c r="B9" s="108" t="n">
        <f aca="false">Assumptions!$B$40+12*Assumptions!$B$41+Assumptions!$B$42+Assumptions!$B$44+Assumptions!$B$45+Assumptions!$B$46</f>
        <v>366400000</v>
      </c>
      <c r="C9" s="108" t="n">
        <f aca="false">Assumptions!$B$40+12*Assumptions!$B$41+Assumptions!$B$42+Assumptions!$B$44+Assumptions!$B$45+Assumptions!$B$46</f>
        <v>366400000</v>
      </c>
      <c r="D9" s="110" t="n">
        <f aca="false">C9-B9</f>
        <v>0</v>
      </c>
      <c r="E9" s="112" t="s">
        <v>496</v>
      </c>
    </row>
    <row r="10" customFormat="false" ht="15" hidden="false" customHeight="true" outlineLevel="0" collapsed="false">
      <c r="A10" s="32" t="s">
        <v>497</v>
      </c>
      <c r="B10" s="110" t="n">
        <f aca="false">B7+B8+B9</f>
        <v>2666400000</v>
      </c>
      <c r="C10" s="110" t="n">
        <f aca="false">C7+C8+C9</f>
        <v>1866400000</v>
      </c>
      <c r="D10" s="110" t="n">
        <f aca="false">C10-B10</f>
        <v>-800000000</v>
      </c>
    </row>
    <row r="11" customFormat="false" ht="15" hidden="false" customHeight="true" outlineLevel="0" collapsed="false">
      <c r="A11" s="32" t="s">
        <v>498</v>
      </c>
      <c r="B11" s="113" t="n">
        <f aca="false">B7+B10</f>
        <v>4166400000</v>
      </c>
      <c r="C11" s="113" t="n">
        <f aca="false">C7+C10</f>
        <v>3366400000</v>
      </c>
      <c r="D11" s="110" t="n">
        <f aca="false">C11-B11</f>
        <v>-800000000</v>
      </c>
    </row>
    <row r="12" customFormat="false" ht="15" hidden="false" customHeight="true" outlineLevel="0" collapsed="false">
      <c r="A12" s="23" t="s">
        <v>499</v>
      </c>
      <c r="B12" s="110" t="n">
        <f aca="false">PnL!AL14+PnL!AM14+PnL!AN14</f>
        <v>-1682708456.3387</v>
      </c>
      <c r="C12" s="110" t="n">
        <f aca="false">PnL!AL14+PnL!AM14+PnL!AN14</f>
        <v>-1682708456.3387</v>
      </c>
      <c r="D12" s="110" t="n">
        <f aca="false">C12-B12</f>
        <v>0</v>
      </c>
    </row>
    <row r="13" customFormat="false" ht="15" hidden="false" customHeight="true" outlineLevel="0" collapsed="false">
      <c r="A13" s="23" t="s">
        <v>500</v>
      </c>
      <c r="B13" s="108" t="n">
        <f aca="false">B11+B12-Assumptions!$B$35</f>
        <v>2383691543.6613</v>
      </c>
      <c r="C13" s="108" t="n">
        <f aca="false">C11+C12-Assumptions!$B$35</f>
        <v>1583691543.6613</v>
      </c>
      <c r="D13" s="110" t="n">
        <f aca="false">C13-B13</f>
        <v>-800000000</v>
      </c>
      <c r="E13" s="109" t="s">
        <v>501</v>
      </c>
    </row>
    <row r="14" customFormat="false" ht="15" hidden="false" customHeight="true" outlineLevel="0" collapsed="false">
      <c r="A14" s="32" t="s">
        <v>502</v>
      </c>
      <c r="B14" s="114" t="str">
        <f aca="false">IF(B13&gt;0,"✅ 36+개월 OK","⚠️ 추가 펀딩 필요")</f>
        <v>✅ 36+개월 OK</v>
      </c>
      <c r="C14" s="114" t="str">
        <f aca="false">IF(C13&gt;0,"✅ 36+개월 OK","⚠️ 추가 펀딩 필요")</f>
        <v>✅ 36+개월 OK</v>
      </c>
      <c r="E14" s="115" t="s">
        <v>503</v>
      </c>
    </row>
    <row r="15" customFormat="false" ht="15" hidden="false" customHeight="true" outlineLevel="0" collapsed="false">
      <c r="E15" s="109" t="s">
        <v>504</v>
      </c>
    </row>
    <row r="17" customFormat="false" ht="15" hidden="false" customHeight="true" outlineLevel="0" collapsed="false">
      <c r="A17" s="55" t="s">
        <v>505</v>
      </c>
    </row>
    <row r="18" customFormat="false" ht="15" hidden="false" customHeight="true" outlineLevel="0" collapsed="false">
      <c r="A18" s="96" t="s">
        <v>506</v>
      </c>
    </row>
    <row r="19" customFormat="false" ht="15" hidden="false" customHeight="true" outlineLevel="0" collapsed="false">
      <c r="A19" s="96" t="s">
        <v>507</v>
      </c>
    </row>
    <row r="20" customFormat="false" ht="15" hidden="false" customHeight="true" outlineLevel="0" collapsed="false">
      <c r="A20" s="63" t="s">
        <v>508</v>
      </c>
      <c r="B20" s="63"/>
      <c r="C20" s="63"/>
      <c r="D20" s="63"/>
      <c r="E20" s="63"/>
      <c r="F20" s="63"/>
    </row>
    <row r="21" customFormat="false" ht="15" hidden="false" customHeight="true" outlineLevel="0" collapsed="false">
      <c r="A21" s="63" t="s">
        <v>509</v>
      </c>
      <c r="B21" s="63"/>
      <c r="C21" s="63"/>
      <c r="D21" s="63"/>
      <c r="E21" s="63"/>
      <c r="F21" s="63"/>
    </row>
    <row r="23" customFormat="false" ht="15" hidden="false" customHeight="true" outlineLevel="0" collapsed="false">
      <c r="A23" s="116" t="s">
        <v>510</v>
      </c>
      <c r="B23" s="116"/>
      <c r="C23" s="116"/>
      <c r="D23" s="116"/>
      <c r="E23" s="116"/>
      <c r="F23" s="116"/>
    </row>
    <row r="24" customFormat="false" ht="15" hidden="false" customHeight="true" outlineLevel="0" collapsed="false">
      <c r="A24" s="117" t="s">
        <v>511</v>
      </c>
      <c r="B24" s="117"/>
      <c r="C24" s="117"/>
      <c r="D24" s="117"/>
      <c r="E24" s="117"/>
      <c r="F24" s="117"/>
    </row>
    <row r="25" customFormat="false" ht="15" hidden="false" customHeight="true" outlineLevel="0" collapsed="false">
      <c r="A25" s="117" t="s">
        <v>512</v>
      </c>
      <c r="B25" s="117"/>
      <c r="C25" s="117"/>
      <c r="D25" s="117"/>
      <c r="E25" s="117"/>
      <c r="F25" s="117"/>
    </row>
    <row r="26" customFormat="false" ht="15" hidden="false" customHeight="true" outlineLevel="0" collapsed="false">
      <c r="A26" s="118" t="s">
        <v>513</v>
      </c>
      <c r="B26" s="118"/>
      <c r="C26" s="118"/>
      <c r="D26" s="118"/>
      <c r="E26" s="118"/>
      <c r="F26" s="118"/>
    </row>
    <row r="27" customFormat="false" ht="15" hidden="false" customHeight="true" outlineLevel="0" collapsed="false">
      <c r="A27" s="118" t="s">
        <v>514</v>
      </c>
      <c r="B27" s="118"/>
      <c r="C27" s="118"/>
      <c r="D27" s="118"/>
      <c r="E27" s="118"/>
      <c r="F27" s="118"/>
    </row>
  </sheetData>
  <mergeCells count="10">
    <mergeCell ref="A1:F1"/>
    <mergeCell ref="A3:F3"/>
    <mergeCell ref="A4:F4"/>
    <mergeCell ref="A20:F20"/>
    <mergeCell ref="A21:F21"/>
    <mergeCell ref="A23:F23"/>
    <mergeCell ref="A24:F24"/>
    <mergeCell ref="A25:F25"/>
    <mergeCell ref="A26:F26"/>
    <mergeCell ref="A27:F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LibreOffice/26.2.3.2$MacOSX_AARCH64 LibreOffice_project/70e089b17412e4cb7773e41413306b17a2328c34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2026-05-06T09:27:46Z</dcterms:created>
  <dc:creator>openpyxl</dc:creator>
  <dc:description/>
  <dc:language>en-US</dc:language>
  <cp:lastModifiedBy>최 재근</cp:lastModifiedBy>
  <dcterms:modified xsi:type="dcterms:W3CDTF">2026-05-28T04:55:33Z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